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<sst xmlns="http://schemas.openxmlformats.org/spreadsheetml/2006/main" count="3788" uniqueCount="2995">
  <si>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</si>
  <si>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</si>
  <si>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</si>
  <si>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</si>
  <si>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</si>
  <si>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</si>
  <si>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</si>
  <si>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</si>
  <si>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</si>
  <si>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</si>
  <si>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</si>
  <si>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</si>
  <si>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</si>
  <si>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</si>
  <si>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</si>
  <si>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</si>
  <si>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</si>
  <si>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</si>
  <si>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</si>
  <si>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</si>
  <si>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</si>
  <si>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</si>
  <si>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</si>
  <si>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</si>
  <si>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</si>
  <si>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</si>
  <si>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</si>
  <si>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</si>
  <si>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</si>
  <si>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</si>
  <si>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</si>
  <si>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</si>
  <si>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</si>
  <si>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</si>
  <si>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</si>
  <si>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</si>
  <si>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</si>
  <si>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</si>
  <si>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</si>
  <si>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</si>
  <si>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</si>
  <si>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</si>
  <si>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</si>
  <si>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</si>
  <si>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</si>
  <si>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</si>
  <si>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</si>
  <si>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</si>
  <si>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</si>
  <si>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</si>
  <si>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</si>
  <si>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</si>
  <si>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</si>
  <si>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</si>
  <si>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</si>
  <si>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</si>
  <si>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</si>
  <si>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</si>
  <si>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</si>
  <si>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</si>
  <si>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</si>
  <si>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</si>
  <si>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</si>
  <si>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</si>
  <si>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</si>
  <si>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</si>
  <si>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</si>
  <si>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</si>
  <si>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</si>
  <si>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</si>
  <si>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</si>
  <si>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</si>
  <si>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</si>
  <si>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</si>
  <si>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</si>
  <si>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</si>
  <si>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</si>
  <si>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</si>
  <si>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</si>
  <si>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</si>
  <si>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</si>
  <si>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</si>
  <si>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</si>
  <si>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</si>
  <si>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</si>
  <si>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</si>
  <si>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</si>
  <si>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</si>
  <si>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</si>
  <si>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</si>
  <si>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</si>
  <si>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</si>
  <si>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</si>
  <si>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</si>
  <si>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</si>
  <si>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</si>
  <si>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</si>
  <si>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</si>
  <si>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</si>
  <si>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</si>
  <si>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</si>
  <si>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</si>
  <si>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</si>
  <si>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</si>
  <si>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</si>
  <si>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</si>
  <si>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</si>
  <si>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</si>
  <si>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</si>
  <si>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</si>
  <si>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</si>
  <si>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</si>
  <si>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</si>
  <si>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</si>
  <si>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</si>
  <si>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</si>
  <si>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</si>
  <si>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</si>
  <si>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</si>
  <si>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</si>
  <si>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</si>
  <si>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</si>
  <si>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</si>
  <si>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</si>
  <si>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</si>
  <si>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</si>
  <si>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</si>
  <si>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</si>
  <si>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</si>
  <si>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</si>
  <si>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</si>
  <si>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</si>
  <si>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</si>
  <si>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</si>
  <si>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</si>
  <si>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</si>
  <si>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</si>
  <si>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</si>
  <si>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</si>
  <si>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</si>
  <si>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</si>
  <si>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</si>
  <si>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</si>
  <si>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</si>
  <si>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</si>
  <si>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</si>
  <si>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</si>
  <si>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</si>
  <si>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</si>
  <si>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</si>
  <si>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</si>
  <si>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</si>
  <si>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</si>
  <si>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</si>
  <si>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</si>
  <si>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</si>
  <si>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</si>
  <si>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</si>
  <si>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</si>
  <si>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</si>
  <si>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</si>
  <si>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</si>
  <si>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</si>
  <si>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</si>
  <si>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</si>
  <si>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</si>
  <si>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</si>
  <si>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</si>
  <si>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</si>
  <si>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</si>
  <si>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</si>
  <si>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</si>
  <si>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</si>
  <si>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</si>
  <si>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</si>
  <si>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</si>
  <si>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</si>
  <si>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</si>
  <si>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</si>
  <si>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</si>
  <si>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</si>
  <si>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</si>
  <si>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</si>
  <si>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</si>
  <si>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</si>
  <si>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</si>
  <si>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</si>
  <si>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</si>
  <si>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</si>
  <si>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</si>
  <si>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</si>
  <si>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</si>
  <si>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</si>
  <si>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</si>
  <si>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</si>
  <si>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</si>
  <si>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</si>
  <si>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</si>
  <si>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</si>
  <si>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</si>
  <si>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</si>
  <si>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</si>
  <si>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</si>
  <si>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</si>
  <si>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</si>
  <si>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</si>
  <si>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</si>
  <si>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</si>
  <si>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</si>
  <si>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</si>
  <si>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</si>
  <si>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</si>
  <si>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</si>
  <si>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</si>
  <si>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</si>
  <si>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</si>
  <si>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</si>
  <si>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</si>
  <si>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</si>
  <si>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</si>
  <si>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</si>
  <si>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</si>
  <si>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</si>
  <si>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</si>
  <si>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</si>
  <si>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</si>
  <si>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</si>
  <si>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</si>
  <si>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</si>
  <si>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</si>
  <si>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</si>
  <si>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</si>
  <si>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</si>
  <si>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</si>
  <si>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</si>
  <si>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</si>
  <si>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</si>
  <si>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</si>
  <si>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</si>
  <si>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</si>
  <si>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</si>
  <si>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</si>
  <si>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</si>
  <si>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</si>
  <si>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</si>
  <si>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</si>
  <si>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</si>
  <si>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</si>
  <si>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</si>
  <si>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</si>
  <si>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</si>
  <si>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</si>
  <si>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</si>
  <si>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</si>
  <si>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</si>
  <si>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</si>
  <si>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</si>
  <si>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</si>
  <si>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</si>
  <si>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</si>
  <si>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</si>
  <si>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</si>
  <si>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</si>
  <si>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</si>
  <si>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</si>
  <si>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</si>
  <si>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</si>
  <si>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</si>
  <si>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</si>
  <si>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</si>
  <si>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</si>
  <si>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</si>
  <si>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</si>
  <si>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</si>
  <si>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</si>
  <si>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</si>
  <si>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</si>
  <si>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</si>
  <si>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</si>
  <si>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</si>
  <si>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</si>
  <si>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</si>
  <si>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</si>
  <si>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</si>
  <si>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</si>
  <si>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</si>
  <si>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</si>
  <si>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</si>
  <si>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</si>
  <si>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</si>
  <si>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</si>
  <si>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</si>
  <si>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</si>
  <si>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</si>
  <si>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</si>
  <si>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</si>
  <si>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</si>
  <si>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</si>
  <si>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</si>
  <si>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</si>
  <si>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</si>
  <si>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</si>
  <si>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</si>
  <si>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</si>
  <si>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</si>
  <si>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</si>
  <si>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</si>
  <si>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</si>
  <si>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</si>
  <si>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</si>
  <si>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</si>
  <si>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</si>
  <si>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</si>
  <si>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</si>
  <si>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</si>
  <si>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</si>
  <si>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</si>
  <si>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</si>
  <si>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</si>
  <si>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</si>
  <si>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</si>
  <si>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</si>
  <si>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</si>
  <si>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</si>
  <si>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</si>
  <si>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</si>
  <si>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</si>
  <si>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</si>
  <si>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</si>
  <si>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</si>
  <si>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</si>
  <si>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</si>
  <si>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</si>
  <si>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</si>
  <si>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</si>
  <si>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</si>
  <si>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</si>
  <si>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</si>
  <si>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</si>
  <si>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</si>
  <si>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</si>
  <si>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</si>
  <si>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</si>
  <si>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</si>
  <si>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</si>
  <si>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</si>
  <si>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</si>
  <si>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</si>
  <si>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</si>
  <si>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</si>
  <si>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</si>
  <si>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</si>
  <si>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</si>
  <si>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</si>
  <si>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</si>
  <si>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</si>
  <si>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</si>
  <si>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</si>
  <si>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</si>
  <si>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</si>
  <si>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</si>
  <si>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</si>
  <si>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</si>
  <si>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</si>
  <si>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</si>
  <si>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</si>
  <si>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</si>
  <si>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</si>
  <si>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</si>
  <si>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</si>
  <si>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</si>
  <si>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</si>
  <si>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</si>
  <si>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</si>
  <si>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</si>
  <si>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</si>
  <si>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</si>
  <si>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</si>
  <si>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</si>
  <si>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</si>
  <si>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</si>
  <si>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</si>
  <si>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</si>
  <si>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</si>
  <si>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</si>
  <si>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</si>
  <si>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</si>
  <si>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</si>
  <si>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</si>
  <si>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</si>
  <si>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</si>
  <si>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</si>
  <si>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</si>
  <si>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</si>
  <si>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</si>
  <si>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</si>
  <si>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</si>
  <si>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</si>
  <si>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</si>
  <si>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</si>
  <si>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</si>
  <si>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</si>
  <si>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</si>
  <si>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</si>
  <si>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</si>
  <si>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</si>
  <si>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</si>
  <si>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</si>
  <si>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</si>
  <si>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</si>
  <si>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</si>
  <si>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</si>
  <si>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</si>
  <si>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</si>
  <si>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</si>
  <si>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</si>
  <si>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</si>
  <si>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</si>
  <si>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</si>
  <si>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</si>
  <si>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</si>
  <si>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</si>
  <si>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</si>
  <si>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</si>
  <si>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</si>
  <si>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</si>
  <si>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</si>
  <si>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</si>
  <si>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</si>
  <si>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</si>
  <si>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</si>
  <si>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</si>
  <si>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</si>
  <si>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</si>
  <si>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</si>
  <si>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</si>
  <si>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</si>
  <si>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</si>
  <si>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</si>
  <si>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</si>
  <si>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</si>
  <si>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</si>
  <si>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</si>
  <si>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</si>
  <si>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</si>
  <si>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</si>
  <si>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</si>
  <si>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</si>
  <si>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</si>
  <si>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</si>
  <si>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</si>
  <si>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</si>
  <si>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</si>
  <si>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</si>
  <si>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</si>
  <si>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</si>
  <si>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</si>
  <si>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</si>
  <si>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</si>
  <si>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</si>
  <si>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</si>
  <si>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</si>
  <si>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</si>
  <si>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</si>
  <si>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</si>
  <si>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</si>
  <si>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</si>
  <si>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</si>
  <si>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</si>
  <si>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</si>
  <si>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</si>
  <si>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</si>
  <si>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</si>
  <si>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</si>
  <si>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</si>
  <si>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</si>
  <si>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</si>
  <si>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</si>
  <si>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</si>
  <si>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</si>
  <si>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</si>
  <si>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</si>
  <si>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</si>
  <si>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</si>
  <si>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</si>
  <si>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</si>
  <si>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</si>
  <si>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</si>
  <si>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</si>
  <si>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</si>
  <si>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</si>
  <si>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</si>
  <si>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</si>
  <si>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</si>
  <si>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</si>
  <si>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</si>
  <si>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</si>
  <si>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</si>
  <si>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</si>
  <si>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</si>
  <si>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</si>
  <si>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</si>
  <si>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</si>
  <si>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</si>
  <si>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</si>
  <si>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</si>
  <si>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</si>
  <si>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</si>
  <si>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</si>
  <si>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</si>
  <si>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</si>
  <si>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</si>
  <si>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</si>
  <si>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</si>
  <si>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</si>
  <si>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</si>
  <si>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</si>
  <si>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</si>
  <si>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</si>
  <si>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</si>
  <si>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</si>
  <si>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</si>
  <si>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</si>
  <si>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</si>
  <si>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</si>
  <si>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</si>
  <si>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</si>
  <si>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</si>
  <si>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</si>
  <si>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</si>
  <si>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</si>
  <si>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</si>
  <si>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</si>
  <si>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</si>
  <si>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</si>
  <si>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</si>
  <si>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</si>
  <si>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</si>
  <si>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</si>
  <si>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</si>
  <si>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</si>
  <si>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</si>
  <si>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</si>
  <si>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</si>
  <si>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</si>
  <si>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</si>
  <si>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</si>
  <si>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</si>
  <si>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</si>
  <si>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</si>
  <si>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</si>
  <si>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</si>
  <si>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</si>
  <si>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</si>
  <si>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</si>
  <si>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</si>
  <si>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</si>
  <si>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</si>
  <si>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</si>
  <si>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</si>
  <si>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</si>
  <si>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</si>
  <si>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</si>
  <si>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</si>
  <si>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</si>
  <si>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</si>
  <si>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</si>
  <si>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</si>
  <si>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</si>
  <si>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</si>
  <si>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</si>
  <si>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</si>
  <si>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</si>
  <si>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</si>
  <si>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</si>
  <si>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</si>
  <si>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</si>
  <si>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</si>
  <si>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</si>
  <si>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</si>
  <si>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</si>
  <si>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</si>
  <si>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</si>
  <si>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</si>
  <si>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</si>
  <si>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</si>
  <si>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</si>
  <si>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</si>
  <si>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</si>
  <si>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</si>
  <si>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</si>
  <si>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</si>
  <si>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</si>
  <si>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</si>
  <si>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</si>
  <si>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</si>
  <si>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</si>
  <si>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</si>
  <si>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</si>
  <si>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</si>
  <si>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</si>
  <si>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</si>
  <si>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</si>
  <si>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</si>
  <si>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</si>
  <si>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</si>
  <si>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</si>
  <si>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</si>
  <si>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</si>
  <si>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</si>
  <si>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</si>
  <si>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</si>
  <si>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</si>
  <si>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</si>
  <si>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</si>
  <si>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</si>
  <si>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</si>
  <si>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</si>
  <si>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</si>
  <si>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</si>
  <si>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</si>
  <si>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</si>
  <si>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</si>
  <si>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</si>
  <si>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</si>
  <si>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</si>
  <si>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</si>
  <si>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</si>
  <si>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</si>
  <si>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</si>
  <si>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</si>
  <si>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</si>
  <si>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</si>
  <si>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</si>
  <si>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</si>
  <si>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</si>
  <si>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</si>
  <si>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</si>
  <si>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</si>
  <si>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</si>
  <si>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</si>
  <si>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</si>
  <si>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</si>
  <si>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</si>
  <si>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</si>
  <si>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</si>
  <si>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</si>
  <si>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</si>
  <si>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</si>
  <si>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</si>
  <si>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</si>
  <si>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</si>
  <si>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</si>
  <si>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</si>
  <si>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</si>
  <si>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</si>
  <si>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</si>
  <si>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</si>
  <si>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</si>
  <si>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</si>
  <si>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</si>
  <si>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</si>
  <si>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</si>
  <si>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</si>
  <si>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</si>
  <si>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</si>
  <si>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</si>
  <si>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</si>
  <si>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</si>
  <si>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</si>
  <si>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</si>
  <si>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</si>
  <si>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</si>
  <si>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</si>
  <si>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</si>
  <si>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</si>
  <si>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</si>
  <si>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</si>
  <si>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</si>
  <si>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</si>
  <si>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</si>
  <si>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</si>
  <si>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</si>
  <si>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</si>
  <si>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</si>
  <si>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</si>
  <si>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</si>
  <si>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</si>
  <si>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</si>
  <si>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</si>
  <si>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</si>
  <si>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</si>
  <si>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</si>
  <si>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</si>
  <si>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</si>
  <si>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</si>
  <si>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</si>
  <si>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</si>
  <si>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</si>
  <si>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</si>
  <si>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</si>
  <si>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</si>
  <si>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</si>
  <si>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</si>
  <si>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</si>
  <si>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</si>
  <si>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</si>
  <si>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</si>
  <si>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</si>
  <si>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</si>
  <si>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</si>
  <si>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</si>
  <si>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</si>
  <si>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</si>
  <si>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</si>
  <si>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</si>
  <si>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</si>
  <si>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</si>
  <si>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</si>
  <si>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</si>
  <si>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</si>
  <si>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</si>
  <si>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</si>
  <si>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</si>
  <si>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</si>
  <si>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</si>
  <si>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</si>
  <si>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</si>
  <si>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</si>
  <si>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</si>
  <si>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</si>
  <si>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</si>
  <si>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</si>
  <si>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</si>
  <si>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</si>
  <si>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</si>
  <si>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</si>
  <si>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</si>
  <si>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</si>
  <si>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</si>
  <si>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</si>
  <si>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</si>
  <si>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</si>
  <si>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</si>
  <si>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</si>
  <si>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</si>
  <si>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</si>
  <si>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</si>
  <si>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</si>
  <si>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</si>
  <si>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</si>
  <si>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</si>
  <si>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</si>
  <si>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</si>
  <si>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</si>
  <si>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</si>
  <si>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</si>
  <si>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</si>
  <si>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</si>
  <si>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</si>
  <si>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</si>
  <si>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</si>
  <si>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</si>
  <si>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</si>
  <si>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</si>
  <si>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</si>
  <si>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</si>
  <si>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</si>
  <si>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</si>
  <si>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</si>
  <si>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</si>
  <si>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</si>
  <si>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</si>
  <si>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</si>
  <si>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</si>
  <si>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</si>
  <si>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</si>
  <si>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</si>
  <si>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</si>
  <si>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</si>
  <si>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</si>
  <si>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</si>
  <si>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</si>
  <si>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</si>
  <si>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</si>
  <si>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</si>
  <si>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</si>
  <si>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</si>
  <si>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</si>
  <si>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</si>
  <si>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</si>
  <si>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</si>
  <si>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</si>
  <si>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</si>
  <si>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</si>
  <si>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</si>
  <si>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</si>
  <si>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</si>
  <si>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</si>
  <si>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</si>
  <si>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</si>
  <si>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</si>
  <si>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</si>
  <si>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</si>
  <si>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</si>
  <si>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</si>
  <si>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</si>
  <si>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</si>
  <si>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</si>
  <si>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</si>
  <si>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</si>
  <si>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</si>
  <si>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</si>
  <si>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</si>
  <si>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</si>
  <si>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</si>
  <si>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</si>
  <si>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</si>
  <si>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</si>
  <si>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</si>
  <si>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</si>
  <si>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</si>
  <si>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</si>
  <si>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</si>
  <si>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</si>
  <si>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</si>
  <si>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</si>
  <si>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</si>
  <si>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</si>
  <si>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</si>
  <si>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</si>
  <si>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</si>
  <si>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</si>
  <si>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</si>
  <si>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</si>
  <si>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</si>
  <si>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</si>
  <si>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</si>
  <si>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</si>
  <si>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</si>
  <si>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</si>
  <si>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</si>
  <si>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</si>
  <si>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</si>
  <si>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</si>
  <si>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</si>
  <si>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</si>
  <si>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</si>
  <si>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</si>
  <si>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</si>
  <si>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</si>
  <si>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</si>
  <si>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</si>
  <si>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</si>
  <si>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</si>
  <si>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</si>
  <si>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</si>
  <si>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</si>
  <si>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</si>
  <si>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</si>
  <si>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</si>
  <si>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</si>
  <si>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</si>
  <si>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</si>
  <si>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</si>
  <si>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</si>
  <si>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</si>
  <si>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</si>
  <si>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</si>
  <si>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</si>
  <si>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</si>
  <si>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</si>
  <si>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</si>
  <si>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</si>
  <si>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</si>
  <si>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</si>
  <si>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</si>
  <si>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</si>
  <si>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</si>
  <si>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</si>
  <si>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</si>
  <si>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</si>
  <si>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</si>
  <si>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</si>
  <si>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</si>
  <si>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</si>
  <si>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</si>
  <si>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</si>
  <si>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</si>
  <si>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</si>
  <si>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</si>
  <si>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</si>
  <si>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</si>
  <si>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</si>
  <si>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</si>
  <si>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</si>
  <si>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</si>
  <si>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</si>
  <si>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</si>
  <si>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</si>
  <si>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</si>
  <si>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</si>
  <si>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</si>
  <si>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</si>
  <si>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</si>
  <si>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</si>
  <si>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</si>
  <si>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</si>
  <si>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</si>
  <si>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</si>
  <si>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</si>
  <si>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</si>
  <si>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</si>
  <si>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</si>
  <si>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</si>
  <si>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</si>
  <si>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</si>
  <si>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</si>
  <si>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</si>
  <si>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</si>
  <si>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</si>
  <si>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</si>
  <si>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</si>
  <si>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</si>
  <si>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</si>
  <si>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</si>
  <si>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</si>
  <si>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</si>
  <si>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</si>
  <si>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</si>
  <si>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</si>
  <si>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</si>
  <si>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</si>
  <si>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</si>
  <si>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</si>
  <si>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</si>
  <si>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</si>
  <si>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</si>
  <si>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</si>
  <si>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</si>
  <si>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</si>
  <si>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</si>
  <si>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</si>
  <si>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</si>
  <si>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</si>
  <si>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</si>
  <si>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</si>
  <si>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</si>
  <si>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</si>
  <si>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</si>
  <si>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</si>
  <si>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</si>
  <si>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</si>
  <si>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</si>
  <si>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</si>
  <si>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</si>
  <si>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</si>
  <si>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</si>
  <si>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</si>
  <si>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</si>
  <si>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</si>
  <si>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</si>
  <si>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</si>
  <si>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</si>
  <si>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</si>
  <si>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</si>
  <si>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</si>
  <si>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</si>
  <si>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</si>
  <si>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</si>
  <si>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</si>
  <si>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</si>
  <si>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</si>
  <si>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</si>
  <si>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</si>
  <si>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</si>
  <si>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</si>
  <si>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</si>
  <si>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</si>
  <si>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</si>
  <si>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</si>
  <si>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</si>
  <si>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</si>
  <si>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</si>
  <si>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</si>
  <si>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</si>
  <si>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</si>
  <si>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</si>
  <si>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</si>
  <si>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</si>
  <si>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</si>
  <si>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</si>
  <si>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</si>
  <si>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</si>
  <si>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</si>
  <si>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</si>
  <si>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</si>
  <si>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</si>
  <si>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</si>
  <si>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</si>
  <si>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</si>
  <si>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</si>
  <si>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</si>
  <si>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</si>
  <si>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</si>
  <si>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</si>
  <si>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</si>
  <si>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</si>
  <si>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</si>
  <si>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</si>
  <si>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</si>
  <si>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</si>
  <si>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</si>
  <si>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</si>
  <si>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</si>
  <si>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</si>
  <si>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</si>
  <si>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</si>
  <si>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</si>
  <si>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</si>
  <si>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</si>
  <si>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</si>
  <si>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</si>
  <si>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</si>
  <si>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</si>
  <si>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</si>
  <si>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</si>
  <si>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</si>
  <si>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</si>
  <si>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</si>
  <si>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</si>
  <si>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</si>
  <si>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</si>
  <si>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</si>
  <si>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</si>
  <si>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</si>
  <si>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</si>
  <si>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</si>
  <si>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</si>
  <si>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</si>
  <si>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</si>
  <si>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</si>
  <si>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</si>
  <si>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</si>
  <si>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</si>
  <si>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</si>
  <si>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</si>
  <si>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</si>
  <si>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</si>
  <si>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</si>
  <si>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</si>
  <si>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</si>
  <si>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</si>
  <si>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</si>
  <si>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</si>
  <si>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</si>
  <si>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</si>
  <si>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</si>
  <si>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</si>
  <si>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</si>
  <si>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</si>
  <si>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</si>
  <si>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</si>
  <si>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</si>
  <si>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</si>
  <si>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</si>
  <si>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</si>
  <si>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</si>
  <si>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</si>
  <si>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</si>
  <si>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</si>
  <si>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</si>
  <si>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</si>
  <si>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</si>
  <si>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</si>
  <si>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</si>
  <si>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</si>
  <si>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</si>
  <si>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</si>
  <si>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</si>
  <si>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</si>
  <si>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</si>
  <si>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</si>
  <si>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</si>
  <si>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</si>
  <si>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</si>
  <si>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</si>
  <si>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</si>
  <si>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</si>
  <si>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</si>
  <si>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</si>
  <si>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</si>
  <si>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</si>
  <si>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</si>
  <si>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</si>
  <si>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</si>
  <si>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</si>
  <si>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</si>
  <si>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</si>
  <si>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</si>
  <si>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</si>
  <si>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</si>
  <si>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</si>
  <si>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</si>
  <si>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</si>
  <si>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</si>
  <si>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</si>
  <si>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</si>
  <si>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</si>
  <si>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</si>
  <si>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</si>
  <si>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</si>
  <si>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</si>
  <si>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</si>
  <si>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</si>
  <si>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</si>
  <si>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</si>
  <si>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</si>
  <si>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</si>
  <si>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</si>
  <si>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</si>
  <si>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</si>
  <si>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</si>
  <si>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</si>
  <si>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</si>
  <si>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</si>
  <si>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</si>
  <si>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</si>
  <si>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</si>
  <si>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</si>
  <si>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</si>
  <si>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</si>
  <si>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</si>
  <si>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</si>
  <si>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</si>
  <si>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</si>
  <si>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</si>
  <si>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</si>
  <si>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</si>
  <si>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</si>
  <si>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</si>
  <si>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</si>
  <si>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</si>
  <si>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</si>
  <si>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</si>
  <si>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</si>
  <si>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</si>
  <si>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</si>
  <si>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</si>
  <si>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</si>
  <si>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</si>
  <si>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</si>
  <si>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</si>
  <si>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</si>
  <si>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</si>
  <si>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</si>
  <si>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</si>
  <si>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</si>
  <si>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</si>
  <si>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</si>
  <si>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</si>
  <si>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</si>
  <si>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</si>
  <si>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</si>
  <si>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</si>
  <si>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</si>
  <si>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</si>
  <si>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</si>
  <si>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</si>
  <si>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</si>
  <si>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</si>
  <si>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</si>
  <si>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</si>
  <si>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</si>
  <si>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</si>
  <si>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</si>
  <si>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</si>
  <si>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</si>
  <si>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</si>
  <si>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</si>
  <si>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</si>
  <si>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</si>
  <si>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</si>
  <si>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</si>
  <si>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</si>
  <si>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</si>
  <si>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</si>
  <si>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</si>
  <si>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</si>
  <si>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</si>
  <si>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</si>
  <si>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</si>
  <si>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</si>
  <si>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</si>
  <si>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</si>
  <si>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</si>
  <si>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</si>
  <si>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</si>
  <si>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</si>
  <si>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</si>
  <si>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</si>
  <si>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</si>
  <si>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</si>
  <si>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</si>
  <si>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</si>
  <si>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</si>
  <si>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</si>
  <si>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</si>
  <si>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</si>
  <si>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</si>
  <si>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</si>
  <si>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</si>
  <si>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</si>
  <si>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</si>
  <si>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</si>
  <si>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</si>
  <si>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</si>
  <si>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</si>
  <si>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</si>
  <si>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</si>
  <si>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</si>
  <si>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</si>
  <si>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</si>
  <si>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</si>
  <si>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</si>
  <si>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</si>
  <si>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</si>
  <si>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</si>
  <si>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</si>
  <si>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</si>
  <si>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</si>
  <si>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</si>
  <si>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</si>
  <si>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</si>
  <si>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</si>
  <si>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</si>
  <si>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</si>
  <si>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</si>
  <si>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</si>
  <si>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</si>
  <si>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</si>
  <si>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</si>
  <si>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</si>
  <si>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</si>
  <si>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</si>
  <si>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</si>
  <si>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</si>
  <si>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</si>
  <si>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</si>
  <si>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</si>
  <si>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</si>
  <si>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</si>
  <si>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</si>
  <si>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</si>
  <si>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</si>
  <si>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</si>
  <si>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</si>
  <si>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</si>
  <si>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</si>
  <si>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</si>
  <si>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</si>
  <si>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</si>
  <si>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</si>
  <si>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</si>
  <si>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</si>
  <si>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</si>
  <si>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</si>
  <si>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</si>
  <si>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</si>
  <si>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</si>
  <si>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</si>
  <si>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</si>
  <si>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</si>
  <si>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</si>
  <si>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</si>
  <si>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</si>
  <si>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</si>
  <si>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</si>
  <si>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</si>
  <si>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</si>
  <si>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</si>
  <si>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</si>
  <si>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</si>
  <si>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</si>
  <si>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</si>
  <si>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</si>
  <si>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</si>
  <si>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</si>
  <si>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</si>
  <si>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</si>
  <si>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</si>
  <si>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</si>
  <si>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</si>
  <si>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</si>
  <si>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</si>
  <si>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</si>
  <si>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</si>
  <si>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</si>
  <si>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</si>
  <si>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</si>
  <si>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</si>
  <si>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</si>
  <si>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</si>
  <si>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</si>
  <si>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</si>
  <si>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</si>
  <si>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</si>
  <si>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</si>
  <si>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</si>
  <si>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</si>
  <si>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</si>
  <si>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</si>
  <si>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</si>
  <si>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</si>
  <si>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</si>
  <si>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</si>
  <si>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</si>
  <si>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</si>
  <si>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</si>
  <si>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</si>
  <si>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</si>
  <si>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</si>
  <si>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</si>
  <si>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</si>
  <si>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</si>
  <si>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</si>
  <si>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</si>
  <si>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</si>
  <si>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</si>
  <si>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</si>
  <si>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</si>
  <si>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</si>
  <si>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</si>
  <si>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</si>
  <si>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</si>
  <si>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</si>
  <si>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</si>
  <si>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</si>
  <si>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</si>
  <si>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</si>
  <si>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</si>
  <si>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</si>
  <si>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</si>
  <si>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</si>
  <si>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</si>
  <si>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</si>
  <si>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</si>
  <si>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</si>
  <si>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</si>
  <si>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</si>
  <si>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</si>
  <si>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</si>
  <si>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</si>
  <si>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</si>
  <si>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</si>
  <si>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</si>
  <si>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</si>
  <si>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</si>
  <si>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</si>
  <si>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</si>
  <si>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</si>
  <si>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</si>
  <si>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</si>
  <si>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</si>
  <si>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</si>
  <si>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</si>
  <si>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</si>
  <si>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</si>
  <si>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</si>
  <si>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</si>
  <si>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</si>
  <si>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</si>
  <si>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</si>
  <si>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</si>
  <si>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</si>
  <si>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</si>
  <si>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</si>
  <si>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</si>
  <si>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</si>
  <si>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</si>
  <si>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</si>
  <si>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</si>
  <si>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</si>
  <si>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</si>
  <si>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</si>
  <si>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</si>
  <si>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</si>
  <si>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</si>
  <si>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</si>
  <si>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</si>
  <si>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</si>
  <si>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</si>
  <si>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</si>
  <si>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</si>
  <si>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</si>
  <si>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</si>
  <si>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</si>
  <si>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</si>
  <si>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</si>
  <si>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</si>
  <si>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</si>
  <si>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</si>
  <si>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</si>
  <si>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</si>
  <si>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</si>
  <si>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</si>
  <si>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</si>
  <si>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</si>
  <si>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</si>
  <si>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</si>
  <si>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</si>
  <si>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</si>
  <si>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</si>
  <si>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</si>
  <si>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</si>
  <si>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</si>
  <si>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</si>
  <si>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</si>
  <si>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</si>
  <si>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</si>
  <si>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</si>
  <si>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</si>
  <si>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</si>
  <si>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</si>
  <si>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</si>
  <si>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</si>
  <si>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</si>
  <si>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</si>
  <si>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</si>
  <si>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</si>
  <si>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</si>
  <si>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</si>
  <si>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</si>
  <si>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</si>
  <si>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</si>
  <si>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</si>
  <si>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</si>
  <si>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</si>
  <si>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</si>
  <si>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</si>
  <si>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</si>
  <si>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</si>
  <si>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</si>
  <si>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</si>
  <si>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</si>
  <si>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</si>
  <si>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</si>
  <si>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</si>
  <si>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</si>
  <si>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</si>
  <si>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</si>
  <si>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</si>
  <si>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</si>
  <si>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</si>
  <si>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</si>
  <si>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</si>
  <si>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</si>
  <si>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</si>
  <si>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</si>
  <si>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</si>
  <si>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</si>
  <si>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</si>
  <si>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</si>
  <si>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</si>
  <si>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</si>
  <si>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</si>
  <si>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</si>
  <si>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</si>
  <si>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</si>
  <si>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</si>
  <si>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</si>
  <si>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</si>
  <si>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</si>
  <si>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</si>
  <si>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</si>
  <si>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</si>
  <si>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</si>
  <si>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</si>
  <si>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</si>
  <si>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</si>
  <si>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</si>
  <si>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</si>
  <si>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</si>
  <si>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</si>
  <si>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</si>
  <si>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</si>
  <si>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</si>
  <si>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</si>
  <si>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</si>
  <si>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</si>
  <si>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</si>
  <si>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</si>
  <si>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</si>
  <si>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</si>
  <si>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</si>
  <si>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</si>
  <si>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</si>
  <si>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</si>
  <si>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</si>
  <si>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</si>
  <si>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</si>
  <si>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</si>
  <si>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</si>
  <si>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</si>
  <si>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</si>
  <si>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</si>
  <si>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</si>
  <si>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</si>
  <si>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</si>
  <si>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</si>
  <si>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</si>
  <si>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</si>
  <si>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</si>
  <si>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</si>
  <si>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</si>
  <si>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</si>
  <si>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</si>
  <si>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</si>
  <si>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</si>
  <si>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</si>
  <si>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</si>
  <si>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</si>
  <si>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</si>
  <si>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</si>
  <si>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</si>
  <si>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</si>
  <si>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</si>
  <si>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</si>
  <si>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</si>
  <si>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</si>
  <si>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</si>
  <si>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</si>
  <si>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</si>
  <si>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</si>
  <si>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</si>
  <si>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</si>
  <si>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</si>
  <si>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</si>
  <si>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</si>
  <si>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</si>
  <si>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</si>
  <si>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</si>
  <si>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</si>
  <si>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</si>
  <si>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</si>
  <si>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</si>
  <si>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</si>
  <si>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</si>
  <si>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</si>
  <si>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</si>
  <si>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</si>
  <si>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</si>
  <si>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</si>
  <si>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</si>
  <si>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</si>
  <si>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</si>
  <si>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</si>
  <si>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</si>
  <si>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</si>
  <si>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</si>
  <si>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</si>
  <si>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</si>
  <si>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</si>
  <si>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</si>
  <si>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</si>
  <si>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</si>
  <si>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</si>
  <si>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</si>
  <si>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</si>
  <si>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</si>
  <si>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</si>
  <si>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</si>
  <si>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</si>
  <si>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</si>
  <si>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</si>
  <si>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</si>
  <si>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</si>
  <si>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</si>
  <si>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</si>
  <si>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</si>
  <si>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</si>
  <si>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</si>
  <si>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</si>
  <si>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</si>
  <si>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</si>
  <si>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</si>
  <si>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</si>
  <si>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</si>
  <si>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</si>
  <si>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</si>
  <si>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</si>
  <si>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</si>
  <si>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</si>
  <si>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</si>
  <si>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</si>
  <si>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</si>
  <si>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</si>
  <si>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</si>
  <si>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</si>
  <si>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</si>
  <si>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</si>
  <si>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</si>
  <si>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</si>
  <si>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</si>
  <si>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</si>
  <si>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</si>
  <si>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</si>
  <si>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</si>
  <si>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</si>
  <si>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</si>
  <si>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</si>
  <si>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</si>
  <si>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</si>
  <si>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</si>
  <si>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</si>
  <si>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</si>
  <si>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</si>
  <si>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</si>
  <si>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</si>
  <si>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</si>
  <si>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</si>
  <si>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</si>
  <si>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</si>
  <si>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</si>
  <si>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</si>
  <si>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</si>
  <si>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</si>
  <si>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</si>
  <si>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</si>
  <si>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</si>
  <si>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</si>
  <si>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</si>
  <si>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</si>
  <si>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</si>
  <si>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</si>
  <si>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</si>
  <si>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</si>
  <si>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</si>
  <si>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</si>
  <si>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</si>
  <si>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</si>
  <si>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</si>
  <si>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</si>
  <si>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</si>
  <si>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</si>
  <si>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</si>
  <si>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</si>
  <si>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</si>
  <si>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</si>
  <si>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</si>
  <si>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</si>
  <si>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</si>
  <si>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</si>
  <si>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</si>
  <si>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</si>
  <si>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</si>
  <si>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</si>
  <si>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</si>
  <si>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</si>
  <si>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</si>
  <si>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</si>
  <si>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</si>
  <si>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</si>
  <si>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</si>
  <si>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</si>
  <si>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</si>
  <si>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</si>
  <si>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</si>
  <si>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</si>
  <si>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</si>
  <si>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</si>
  <si>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</si>
  <si>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</si>
  <si>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</si>
  <si>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</si>
  <si>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</si>
  <si>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</si>
  <si>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</si>
  <si>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</si>
  <si>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</si>
  <si>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</si>
  <si>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</si>
  <si>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</si>
  <si>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</si>
  <si>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</si>
  <si>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</si>
  <si>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</si>
  <si>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</si>
  <si>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</si>
  <si>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</si>
  <si>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</si>
  <si>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</si>
  <si>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</si>
  <si>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</si>
  <si>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</si>
  <si>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</si>
  <si>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</si>
  <si>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</si>
  <si>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</si>
  <si>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</si>
  <si>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</si>
  <si>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</si>
  <si>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</si>
  <si>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</si>
  <si>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</si>
  <si>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</si>
  <si>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</si>
  <si>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</si>
  <si>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</si>
  <si>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</si>
  <si>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</si>
  <si>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</si>
  <si>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</si>
  <si>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</si>
  <si>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</si>
  <si>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</si>
  <si>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</si>
  <si>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</si>
  <si>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</si>
  <si>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</si>
  <si>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</si>
  <si>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</si>
  <si>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</si>
  <si>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</si>
  <si>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</si>
  <si>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</si>
  <si>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</si>
  <si>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</si>
  <si>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</si>
  <si>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</si>
  <si>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</si>
  <si>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</si>
  <si>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</si>
  <si>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</si>
  <si>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</si>
  <si>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</si>
  <si>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</si>
  <si>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</si>
  <si>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</si>
  <si>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</si>
  <si>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</si>
  <si>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</si>
  <si>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</si>
  <si>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</si>
  <si>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</si>
  <si>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</si>
  <si>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</si>
  <si>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</si>
  <si>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</si>
  <si>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</si>
  <si>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</si>
  <si>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</si>
  <si>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</si>
  <si>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</si>
  <si>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</si>
  <si>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</si>
  <si>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</si>
  <si>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</si>
  <si>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</si>
  <si>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</si>
  <si>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</si>
  <si>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</si>
  <si>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</si>
  <si>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</si>
  <si>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</si>
  <si>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</si>
  <si>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</si>
  <si>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</si>
  <si>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</si>
  <si>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</si>
  <si>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</si>
  <si>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</si>
  <si>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</si>
  <si>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</si>
  <si>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</si>
  <si>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</si>
  <si>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</si>
  <si>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</si>
  <si>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</si>
  <si>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</si>
  <si>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</si>
  <si>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</si>
  <si>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</si>
  <si>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</si>
  <si>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</si>
  <si>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</si>
  <si>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</si>
  <si>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</si>
  <si>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</si>
  <si>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</si>
  <si>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</si>
  <si>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</si>
  <si>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</si>
  <si>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</si>
  <si>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</si>
  <si>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</si>
  <si>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</si>
  <si>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</si>
  <si>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</si>
  <si>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</si>
  <si>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</si>
  <si>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</si>
  <si>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</si>
  <si>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</si>
  <si>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</si>
  <si>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</si>
  <si>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</si>
  <si>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</si>
  <si>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</si>
  <si>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</si>
  <si>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</si>
  <si>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</si>
  <si>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</si>
  <si>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</si>
  <si>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</si>
  <si>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</si>
  <si>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</si>
  <si>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</si>
  <si>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</si>
  <si>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</si>
  <si>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</si>
  <si>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</si>
  <si>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</si>
  <si>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</si>
  <si>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</si>
  <si>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</si>
  <si>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</si>
  <si>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</si>
  <si>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</si>
  <si>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</si>
  <si>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</si>
  <si>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</si>
  <si>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</si>
  <si>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</si>
  <si>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</si>
  <si>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</si>
  <si>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</si>
  <si>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</si>
  <si>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</si>
  <si>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</si>
  <si>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</si>
  <si>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</si>
  <si>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</si>
  <si>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</si>
  <si>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</si>
  <si>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</si>
  <si>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</si>
  <si>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</si>
  <si>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</si>
  <si>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</si>
  <si>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</si>
  <si>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</si>
  <si>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</si>
  <si>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</si>
  <si>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</si>
  <si>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</si>
  <si>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</si>
  <si>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</si>
  <si>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</si>
  <si>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</si>
  <si>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</si>
  <si>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</si>
  <si>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</si>
  <si>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</si>
  <si>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</si>
  <si>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</si>
  <si>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</si>
  <si>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</si>
  <si>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</si>
  <si>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</si>
  <si>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</si>
  <si>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</si>
  <si>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</si>
  <si>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</si>
  <si>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</si>
  <si>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</si>
  <si>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</si>
  <si>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</si>
  <si>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</si>
  <si>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</si>
  <si>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</si>
  <si>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</si>
  <si>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</si>
  <si>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</si>
  <si>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</si>
  <si>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</si>
  <si>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</si>
  <si>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</si>
  <si>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</si>
  <si>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</si>
  <si>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</si>
  <si>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</si>
  <si>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</si>
  <si>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</si>
  <si>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</si>
  <si>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</si>
  <si>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</si>
  <si>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</si>
  <si>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</si>
  <si>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</si>
  <si>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</si>
  <si>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</si>
  <si>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</si>
  <si>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</si>
  <si>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</si>
  <si>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</si>
  <si>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</si>
  <si>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</si>
  <si>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</si>
  <si>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</si>
  <si>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</si>
  <si>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</si>
  <si>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</si>
  <si>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</si>
  <si>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</si>
  <si>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</si>
  <si>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</si>
  <si>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</si>
  <si>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</si>
  <si>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</si>
  <si>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</si>
  <si>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</si>
  <si>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</si>
  <si>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</si>
  <si>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</si>
  <si>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</si>
  <si>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</si>
  <si>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</si>
  <si>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</si>
  <si>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</si>
  <si>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</si>
  <si>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</si>
  <si>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</si>
  <si>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</si>
  <si>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</si>
  <si>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</si>
  <si>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</si>
  <si>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</si>
  <si>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</si>
  <si>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</si>
  <si>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</si>
  <si>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</si>
  <si>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</si>
  <si>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</si>
  <si>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</si>
  <si>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</si>
  <si>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</si>
  <si>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</si>
  <si>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</si>
  <si>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</si>
  <si>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</si>
  <si>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</si>
  <si>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</si>
  <si>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</si>
  <si>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</si>
  <si>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</si>
  <si>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</si>
  <si>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</si>
  <si>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</si>
  <si>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</si>
  <si>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</si>
  <si>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</si>
  <si>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</si>
  <si>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</si>
  <si>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</si>
  <si>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</si>
  <si>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</si>
  <si>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</si>
  <si>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</si>
  <si>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</si>
  <si>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</si>
  <si>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</si>
  <si>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</si>
  <si>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</si>
  <si>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</si>
  <si>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</si>
  <si>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</si>
  <si>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</si>
  <si>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</si>
  <si>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</si>
  <si>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</si>
  <si>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</si>
  <si>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</si>
  <si>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</si>
  <si>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</si>
  <si>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</si>
  <si>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</si>
  <si>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</si>
  <si>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</si>
  <si>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</si>
  <si>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</si>
  <si>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</si>
  <si>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</si>
  <si>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</si>
  <si>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</si>
  <si>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</si>
  <si>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</si>
  <si>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</si>
  <si>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</si>
  <si>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</si>
  <si>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</si>
  <si>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</si>
  <si>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</si>
  <si>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</si>
  <si>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</si>
  <si>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</si>
  <si>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</si>
  <si>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</si>
  <si>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</si>
  <si>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</si>
  <si>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</si>
  <si>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</si>
  <si>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</si>
  <si>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</si>
  <si>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</si>
  <si>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</si>
  <si>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</si>
  <si>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</si>
  <si>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</si>
  <si>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</si>
  <si>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</si>
  <si>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</si>
  <si>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</si>
  <si>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</si>
  <si>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</si>
  <si>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</si>
  <si>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</si>
  <si>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</si>
  <si>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</si>
  <si>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</si>
  <si>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</si>
  <si>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</si>
  <si>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</si>
  <si>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</si>
  <si>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</si>
  <si>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</si>
  <si>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</si>
  <si>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</si>
  <si>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</si>
  <si>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</si>
  <si>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</si>
  <si>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</si>
  <si>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</si>
  <si>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</si>
  <si>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</si>
  <si>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</si>
  <si>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</si>
  <si>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</si>
  <si>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</si>
  <si>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</si>
  <si>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</si>
  <si>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</si>
  <si>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</si>
  <si>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</si>
  <si>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</si>
  <si>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</si>
  <si>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</si>
  <si>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</si>
  <si>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</si>
  <si>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</si>
  <si>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</si>
  <si>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</si>
  <si>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</si>
  <si>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</si>
  <si>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</si>
  <si>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</si>
  <si>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</si>
  <si>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</si>
  <si>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</si>
  <si>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</si>
  <si>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</si>
  <si>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</si>
  <si>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</si>
  <si>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</si>
  <si>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</si>
  <si>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</si>
  <si>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</si>
  <si>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</si>
  <si>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</si>
  <si>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</si>
  <si>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</si>
  <si>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</si>
  <si>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</si>
  <si>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</si>
  <si>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</si>
  <si>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</si>
  <si>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</si>
  <si>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</si>
  <si>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</si>
  <si>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</si>
  <si>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</si>
  <si>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</si>
  <si>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</si>
  <si>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</si>
  <si>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</si>
  <si>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</si>
  <si>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</si>
  <si>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</si>
  <si>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</si>
  <si>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</si>
  <si>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</si>
  <si>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</si>
  <si>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</si>
  <si>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</si>
  <si>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</si>
  <si>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</si>
  <si>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</si>
  <si>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</si>
  <si>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</si>
  <si>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</si>
  <si>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</si>
  <si>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</si>
  <si>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</si>
  <si>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</si>
  <si>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</si>
  <si>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</si>
  <si>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</si>
  <si>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</si>
  <si>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</si>
  <si>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</si>
  <si>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</si>
  <si>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</si>
  <si>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</si>
  <si>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</si>
  <si>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</si>
  <si>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</si>
  <si>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</si>
  <si>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</si>
  <si>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</si>
  <si>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</si>
  <si>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</si>
  <si>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</si>
  <si>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</si>
  <si>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</si>
  <si>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</si>
  <si>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</si>
  <si>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</si>
  <si>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</si>
  <si>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</si>
  <si>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</si>
  <si>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</si>
  <si>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</si>
  <si>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</si>
  <si>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</si>
  <si>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</si>
  <si>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</si>
  <si>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</si>
  <si>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</si>
  <si>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</si>
  <si>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</si>
  <si>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</si>
  <si>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</si>
  <si>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</si>
  <si>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</si>
  <si>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</si>
  <si>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</si>
  <si>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</si>
  <si>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</si>
  <si>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</si>
  <si>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</si>
  <si>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</si>
  <si>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</si>
  <si>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</si>
  <si>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</si>
  <si>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</si>
  <si>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</si>
  <si>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</si>
  <si>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</si>
  <si>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</si>
  <si>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</si>
  <si>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</si>
  <si>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</si>
  <si>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</si>
  <si>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</si>
  <si>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</si>
  <si>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</si>
  <si>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</si>
  <si>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</si>
  <si>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</si>
  <si>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</si>
  <si>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</si>
  <si>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</si>
  <si>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</si>
  <si>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</si>
  <si>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</si>
  <si>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</si>
  <si>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</si>
  <si>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</si>
  <si>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</si>
  <si>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</si>
  <si>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</si>
  <si>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</si>
  <si>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</si>
  <si>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</si>
  <si>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</si>
  <si>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</si>
  <si>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</si>
  <si>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</si>
  <si>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</si>
  <si>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</si>
  <si>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</si>
  <si>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</si>
  <si>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</si>
  <si>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</si>
  <si>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</si>
  <si>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</si>
  <si>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</si>
  <si>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</si>
  <si>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</si>
  <si>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</si>
  <si>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</si>
  <si>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</si>
  <si>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</si>
  <si>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</si>
  <si>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</si>
  <si>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</si>
  <si>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</si>
  <si>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</si>
  <si>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</si>
  <si>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</si>
  <si>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</si>
  <si>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</si>
  <si>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</si>
  <si>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</si>
  <si>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</si>
  <si>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</si>
  <si>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</si>
  <si>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</si>
  <si>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</si>
  <si>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</si>
  <si>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</si>
  <si>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</si>
  <si>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</si>
  <si>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</si>
  <si>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</si>
  <si>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</si>
  <si>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</si>
  <si>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</si>
  <si>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</si>
  <si>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</si>
  <si>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</si>
  <si>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</si>
  <si>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</si>
  <si>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</si>
  <si>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</si>
  <si>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</si>
  <si>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</si>
  <si>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</si>
  <si>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</si>
  <si>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</si>
  <si>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</si>
  <si>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</si>
  <si>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</si>
  <si>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</si>
  <si>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</si>
  <si>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</si>
  <si>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</si>
  <si>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</si>
  <si>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</si>
  <si>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</si>
  <si>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</si>
  <si>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</si>
  <si>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</si>
  <si>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</si>
  <si>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</si>
  <si>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</si>
  <si>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</si>
  <si>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</si>
  <si>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</si>
  <si>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</si>
  <si>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</si>
  <si>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</si>
  <si>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</si>
  <si>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</si>
  <si>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</si>
  <si>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</si>
  <si>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</si>
  <si>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</si>
  <si>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</si>
  <si>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</si>
  <si>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</si>
  <si>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</si>
  <si>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</si>
  <si>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</si>
  <si>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</si>
  <si>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</si>
  <si>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</si>
  <si>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</si>
  <si>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</si>
  <si>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</si>
  <si>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</si>
  <si>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</si>
  <si>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</si>
  <si>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</si>
  <si>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</si>
  <si>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</si>
  <si>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</si>
  <si>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</si>
  <si>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</si>
  <si>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</si>
  <si>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</si>
  <si>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</si>
  <si>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</si>
  <si>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</si>
  <si>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</si>
  <si>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</si>
  <si>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</si>
  <si>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</si>
  <si>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</si>
  <si>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</si>
  <si>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</si>
  <si>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</si>
  <si>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</si>
  <si>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</si>
  <si>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</si>
  <si>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</si>
  <si>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</si>
  <si>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</si>
  <si>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</si>
  <si>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</si>
  <si>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</si>
  <si>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</si>
  <si>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</si>
  <si>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</si>
  <si>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</si>
  <si>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</si>
  <si>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</si>
  <si>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</si>
  <si>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</si>
  <si>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</si>
  <si>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</si>
  <si>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</si>
  <si>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</si>
  <si>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</si>
  <si>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</si>
  <si>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</si>
  <si>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</si>
  <si>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</si>
  <si>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</si>
  <si>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</si>
  <si>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</si>
  <si>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</si>
  <si>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</si>
  <si>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</si>
  <si>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</si>
  <si>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</si>
  <si>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</si>
  <si>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</si>
  <si>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</si>
  <si>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</si>
  <si>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</si>
  <si>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</si>
  <si>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</si>
  <si>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</si>
  <si>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</si>
  <si>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</si>
  <si>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</si>
  <si>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</si>
  <si>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</si>
  <si>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</si>
  <si>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</si>
  <si>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</si>
  <si>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</si>
  <si>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</si>
  <si>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</si>
  <si>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</si>
  <si>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</si>
  <si>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</si>
  <si>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</si>
  <si>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</si>
  <si>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</si>
  <si>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</si>
  <si>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</si>
  <si>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</si>
  <si>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</si>
  <si>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</si>
  <si>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</si>
  <si>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</si>
  <si>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</si>
  <si>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</si>
  <si>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</si>
  <si>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</si>
  <si>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</si>
  <si>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</si>
  <si>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</si>
  <si>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</si>
  <si>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</si>
  <si>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</si>
  <si>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</si>
  <si>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</si>
  <si>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</si>
  <si>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</si>
  <si>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</si>
  <si>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</si>
  <si>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</si>
  <si>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</si>
  <si>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</si>
  <si>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</si>
  <si>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</si>
  <si>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</si>
  <si>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</si>
  <si>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</si>
  <si>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</si>
  <si>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</si>
  <si>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</si>
  <si>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</si>
  <si>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</si>
  <si>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</si>
  <si>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</si>
  <si>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</si>
  <si>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</si>
  <si>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</si>
  <si>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</si>
  <si>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</si>
  <si>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</si>
  <si>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</si>
  <si>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</si>
  <si>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</si>
  <si>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</si>
  <si>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</si>
  <si>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</si>
  <si>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</si>
  <si>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</si>
  <si>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</si>
  <si>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</si>
  <si>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</si>
  <si>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</si>
  <si>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</si>
  <si>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</si>
  <si>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</si>
  <si>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</si>
  <si>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</si>
  <si>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</si>
  <si>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</si>
  <si>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</si>
  <si>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</si>
  <si>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</si>
  <si>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</si>
  <si>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</si>
  <si>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</si>
  <si>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</si>
  <si>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</si>
  <si>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</si>
  <si>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</si>
  <si>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</si>
  <si>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</si>
  <si>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</si>
  <si>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</si>
  <si>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</si>
  <si>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</si>
  <si>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</si>
  <si>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</si>
  <si>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</si>
  <si>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</si>
  <si>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</si>
  <si>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</si>
  <si>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</si>
  <si>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</si>
  <si>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</si>
  <si>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</si>
  <si>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</si>
  <si>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</si>
  <si>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</si>
  <si>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</si>
  <si>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</si>
  <si>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</si>
  <si>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</si>
  <si>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</si>
  <si>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</si>
  <si>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</si>
  <si>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</si>
  <si>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</si>
  <si>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</si>
  <si>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</si>
  <si>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</si>
  <si>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</si>
  <si>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</si>
  <si>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</si>
  <si>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</si>
  <si>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</si>
  <si>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</si>
  <si>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</si>
  <si>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</si>
  <si>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</si>
  <si>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</si>
  <si>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</si>
  <si>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</si>
  <si>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</si>
  <si>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</si>
  <si>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</si>
  <si>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</si>
  <si>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</si>
  <si>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</si>
  <si>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</si>
  <si>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</si>
  <si>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</si>
  <si>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</si>
  <si>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</si>
  <si>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</si>
  <si>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</si>
  <si>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</si>
  <si>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</si>
  <si>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</si>
  <si>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</si>
  <si>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</si>
  <si>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</si>
  <si>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</si>
  <si>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</si>
  <si>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</si>
  <si>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</si>
  <si>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</si>
  <si>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</si>
  <si>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</si>
  <si>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</si>
  <si>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</si>
  <si>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</si>
  <si>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</si>
  <si>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</si>
  <si>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</si>
  <si>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</si>
  <si>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</si>
  <si>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</si>
  <si>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</si>
  <si>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</si>
  <si>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</si>
  <si>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</si>
  <si>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</si>
  <si>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</si>
  <si>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</si>
  <si>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</si>
  <si>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</si>
  <si>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</si>
  <si>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</si>
  <si>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</si>
  <si>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</si>
  <si>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</si>
  <si>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</si>
  <si>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</si>
  <si>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</si>
  <si>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</si>
  <si>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</si>
  <si>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</si>
  <si>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</si>
  <si>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</si>
  <si>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</si>
  <si>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</si>
  <si>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</si>
  <si>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</si>
  <si>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</si>
  <si>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</si>
  <si>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</si>
  <si>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</si>
  <si>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</si>
  <si>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</si>
  <si>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</si>
  <si>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</si>
  <si>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</si>
  <si>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</si>
  <si>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</si>
  <si>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</si>
  <si>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</si>
  <si>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</si>
  <si>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</si>
  <si>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</si>
  <si>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</si>
  <si>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</si>
  <si>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</si>
  <si>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</si>
  <si>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</si>
  <si>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</si>
  <si>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</si>
  <si>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</si>
  <si>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</si>
  <si>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</si>
  <si>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</si>
  <si>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</si>
  <si>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</si>
  <si>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</si>
  <si>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</si>
  <si>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</si>
  <si>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</si>
  <si>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</si>
  <si>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</si>
  <si>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</si>
  <si>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</si>
  <si>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</si>
  <si>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</si>
  <si>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</si>
  <si>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</si>
  <si>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</si>
  <si>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</si>
  <si>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</si>
  <si>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</si>
  <si>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</si>
  <si>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</si>
  <si>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</si>
  <si>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</si>
  <si>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</si>
  <si>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</si>
  <si>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</si>
  <si>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</si>
  <si>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</si>
  <si>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</si>
  <si>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</si>
  <si>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</si>
  <si>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</si>
  <si>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</si>
  <si>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</si>
  <si>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</si>
  <si>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</si>
  <si>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</si>
  <si>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</si>
  <si>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</si>
  <si>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</si>
  <si>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</si>
  <si>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</si>
  <si>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</si>
  <si>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</si>
  <si>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</si>
  <si>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</si>
  <si>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</si>
  <si>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</si>
  <si>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</si>
  <si>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</si>
  <si>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</si>
  <si>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</si>
  <si>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</si>
  <si>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</si>
  <si>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</si>
  <si>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</si>
  <si>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</si>
  <si>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</si>
  <si>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</si>
  <si>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</si>
  <si>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</si>
  <si>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</si>
  <si>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</si>
  <si>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</si>
  <si>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</si>
  <si>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</si>
  <si>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</si>
  <si>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</si>
  <si>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</si>
  <si>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</si>
  <si>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</si>
  <si>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</si>
  <si>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</si>
  <si>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</si>
  <si>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</si>
  <si>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</si>
  <si>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</si>
  <si>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</si>
  <si>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</si>
  <si>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</si>
  <si>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</si>
  <si>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</si>
  <si>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</si>
  <si>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</si>
  <si>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</si>
  <si>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</si>
  <si>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</si>
  <si>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</si>
  <si>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</si>
  <si>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</si>
  <si>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</si>
  <si>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</si>
  <si>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</si>
  <si>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</si>
  <si>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</si>
  <si>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</si>
  <si>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</si>
  <si>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</si>
  <si>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</si>
  <si>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</si>
  <si>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</si>
  <si>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</si>
  <si>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</si>
  <si>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</si>
  <si>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</si>
  <si>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</si>
  <si>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</si>
  <si>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</si>
  <si>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</si>
  <si>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</si>
  <si>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</si>
  <si>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</si>
  <si>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</si>
  <si>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</si>
  <si>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</si>
  <si>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</si>
  <si>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</si>
  <si>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</si>
  <si>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</si>
  <si>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</si>
  <si>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</si>
  <si>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</si>
  <si>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</si>
  <si>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</si>
  <si>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</si>
  <si>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</si>
  <si>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</si>
  <si>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</si>
  <si>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</si>
  <si>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</si>
  <si>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</si>
  <si>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</si>
  <si>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</si>
  <si>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</si>
  <si>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</si>
  <si>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</si>
  <si>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</si>
  <si>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</si>
  <si>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</si>
  <si>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</si>
  <si>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</si>
  <si>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</si>
  <si>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</si>
  <si>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</si>
  <si>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</si>
  <si>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</si>
  <si>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</si>
  <si>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</si>
  <si>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</si>
  <si>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</si>
  <si>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</si>
  <si>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</si>
  <si>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</si>
  <si>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</si>
  <si>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</si>
  <si>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</si>
  <si>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</si>
  <si>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</si>
  <si>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</si>
  <si>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</si>
  <si>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</si>
  <si>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</si>
  <si>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</si>
  <si>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</si>
  <si>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</si>
  <si>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</si>
  <si>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</si>
  <si>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</si>
  <si>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</si>
  <si>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</si>
  <si>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</si>
  <si>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</si>
  <si>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</si>
  <si>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</si>
  <si>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</si>
  <si>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</si>
  <si>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</si>
  <si>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</si>
  <si>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</si>
  <si>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</si>
  <si>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</si>
  <si>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</si>
  <si>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</si>
  <si>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</si>
  <si>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</si>
  <si>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</si>
  <si>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</si>
  <si>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</si>
  <si>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</si>
  <si>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</si>
  <si>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</si>
  <si>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</si>
  <si>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</si>
  <si>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</si>
  <si>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</si>
  <si>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</si>
  <si>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</si>
  <si>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</si>
  <si>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</si>
  <si>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</si>
  <si>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</si>
  <si>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</si>
  <si>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</si>
  <si>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</si>
  <si>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</si>
  <si>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</si>
  <si>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</si>
  <si>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</si>
  <si>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</si>
  <si>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</si>
  <si>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</si>
  <si>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</si>
  <si>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</si>
  <si>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</si>
  <si>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</si>
  <si>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</si>
  <si>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</si>
  <si>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</si>
  <si>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</si>
  <si>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</si>
  <si>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</si>
  <si>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</si>
  <si>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</si>
  <si>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</si>
  <si>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</si>
  <si>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</si>
  <si>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</si>
  <si>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</si>
  <si>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</si>
  <si>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</si>
  <si>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</si>
  <si>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</si>
  <si>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</si>
  <si>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</si>
  <si>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</si>
  <si>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</si>
  <si>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</si>
  <si>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</si>
  <si>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</si>
  <si>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</si>
  <si>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</si>
  <si>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</si>
  <si>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</si>
  <si>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</si>
  <si>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</si>
  <si>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</si>
  <si>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</si>
  <si>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</si>
  <si>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</si>
  <si>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</si>
  <si>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</si>
  <si>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</si>
  <si>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</si>
  <si>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</si>
  <si>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</si>
  <si>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</si>
  <si>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</si>
  <si>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</si>
  <si>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</si>
  <si>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</si>
  <si>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</si>
  <si>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</si>
  <si>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</si>
  <si>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</si>
  <si>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</si>
  <si>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</si>
  <si>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</si>
  <si>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</si>
  <si>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</si>
  <si>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</si>
  <si>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</si>
  <si>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</si>
  <si>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</si>
  <si>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</si>
  <si>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</si>
  <si>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</si>
  <si>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</si>
  <si>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</si>
  <si>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</si>
  <si>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</si>
  <si>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</si>
  <si>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</si>
  <si>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</si>
  <si>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</si>
  <si>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</si>
  <si>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</si>
  <si>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</si>
  <si>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</si>
  <si>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</si>
  <si>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</si>
  <si>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</si>
  <si>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</si>
  <si>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</si>
  <si>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</si>
  <si>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</si>
  <si>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</si>
  <si>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</si>
  <si>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</si>
  <si>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</si>
  <si>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</si>
  <si>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</si>
  <si>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</si>
  <si>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</si>
  <si>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</si>
  <si>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</si>
  <si>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</si>
  <si>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</si>
  <si>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</si>
  <si>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</si>
  <si>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</si>
  <si>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</si>
  <si>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</si>
  <si>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</si>
  <si>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</si>
  <si>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</si>
  <si>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</si>
  <si>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</si>
  <si>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</si>
  <si>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</si>
  <si>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</si>
  <si>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</si>
  <si>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</si>
  <si>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</si>
  <si>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</si>
  <si>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</si>
  <si>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</si>
  <si>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</si>
  <si>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</si>
  <si>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</si>
  <si>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</si>
  <si>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</si>
  <si>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</si>
  <si>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</si>
  <si>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</si>
  <si>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</si>
  <si>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</si>
  <si>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</si>
  <si>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</si>
  <si>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</si>
  <si>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</si>
  <si>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</si>
  <si>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</si>
  <si>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</si>
  <si>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</si>
  <si>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</si>
  <si>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</si>
  <si>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</si>
  <si>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</si>
  <si>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</si>
  <si>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</si>
  <si>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</si>
  <si>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</si>
  <si>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</si>
  <si>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</si>
  <si>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</si>
  <si>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</si>
  <si>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</si>
  <si>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</si>
  <si>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</si>
  <si>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</si>
  <si>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</si>
  <si>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</si>
  <si>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</si>
  <si>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</si>
  <si>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</si>
  <si>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</si>
  <si>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</si>
  <si>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</si>
  <si>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</si>
  <si>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</si>
  <si>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</si>
  <si>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</si>
  <si>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</si>
  <si>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</si>
  <si>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</si>
  <si>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</si>
  <si>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</si>
  <si>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</si>
  <si>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</si>
  <si>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</si>
  <si>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</si>
  <si>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</si>
  <si>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</si>
  <si>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</si>
  <si>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</si>
  <si>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</si>
  <si>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</si>
  <si>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</si>
  <si>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</si>
  <si>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</si>
  <si>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</si>
  <si>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</si>
  <si>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</si>
  <si>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</si>
  <si>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</si>
  <si>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</si>
  <si>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</si>
  <si>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</si>
  <si>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</si>
  <si>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</si>
  <si>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</si>
  <si>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</si>
  <si>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</si>
  <si>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</si>
  <si>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</si>
  <si>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</si>
  <si>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</si>
  <si>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</si>
  <si>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</si>
  <si>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34347571917</t>
  </si>
  <si>
    <t>04674766</t>
  </si>
  <si>
    <t>AQUAPARK ZELINA D.O.O.</t>
  </si>
  <si>
    <t>SVETI IVAN ZELINA</t>
  </si>
  <si>
    <t>TRG ANTE STARČEVIĆA 12</t>
  </si>
  <si>
    <t>081072355</t>
  </si>
  <si>
    <t>aquapark@zelina.hr</t>
  </si>
  <si>
    <t>www.aquapark@zelina.hr</t>
  </si>
  <si>
    <t>01/2040752</t>
  </si>
  <si>
    <t>IVAN DANANIĆ</t>
  </si>
  <si>
    <t>ivan.dananic@zelkom.hr</t>
  </si>
  <si>
    <t>DANANIĆ IVAN</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</si>
</sst>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5">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56"/>
        <bgColor indexed="64"/>
      </patternFill>
    </fill>
    <fill>
      <patternFill patternType="solid">
        <fgColor indexed="26"/>
        <bgColor indexed="64"/>
      </patternFill>
    </fill>
    <fill>
      <patternFill patternType="solid">
        <fgColor indexed="13"/>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thin"/>
    </border>
    <border>
      <left>
        <color indexed="63"/>
      </left>
      <right style="thin">
        <color indexed="55"/>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
      <left style="thin"/>
      <right style="thin"/>
      <top style="thin"/>
      <bottom>
        <color indexed="63"/>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color indexed="63"/>
      </right>
      <top style="thin">
        <color indexed="22"/>
      </top>
      <bottom style="thin">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0" fillId="20" borderId="1" applyNumberFormat="0" applyFont="0" applyAlignment="0" applyProtection="0"/>
    <xf numFmtId="0" fontId="80" fillId="21" borderId="0" applyNumberFormat="0" applyBorder="0" applyAlignment="0" applyProtection="0"/>
    <xf numFmtId="0" fontId="4" fillId="0" borderId="0" applyNumberFormat="0" applyFill="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79" fillId="26" borderId="0" applyNumberFormat="0" applyBorder="0" applyAlignment="0" applyProtection="0"/>
    <xf numFmtId="0" fontId="79" fillId="27" borderId="0" applyNumberFormat="0" applyBorder="0" applyAlignment="0" applyProtection="0"/>
    <xf numFmtId="0" fontId="81" fillId="28" borderId="2" applyNumberFormat="0" applyAlignment="0" applyProtection="0"/>
    <xf numFmtId="0" fontId="82" fillId="28" borderId="3" applyNumberFormat="0" applyAlignment="0" applyProtection="0"/>
    <xf numFmtId="0" fontId="83" fillId="29" borderId="0" applyNumberFormat="0" applyBorder="0" applyAlignment="0" applyProtection="0"/>
    <xf numFmtId="0" fontId="84" fillId="0" borderId="0" applyNumberFormat="0" applyFill="0" applyBorder="0" applyAlignment="0" applyProtection="0"/>
    <xf numFmtId="0" fontId="85" fillId="0" borderId="4" applyNumberFormat="0" applyFill="0" applyAlignment="0" applyProtection="0"/>
    <xf numFmtId="0" fontId="86" fillId="0" borderId="5" applyNumberFormat="0" applyFill="0" applyAlignment="0" applyProtection="0"/>
    <xf numFmtId="0" fontId="87" fillId="0" borderId="6" applyNumberFormat="0" applyFill="0" applyAlignment="0" applyProtection="0"/>
    <xf numFmtId="0" fontId="87" fillId="0" borderId="0" applyNumberFormat="0" applyFill="0" applyBorder="0" applyAlignment="0" applyProtection="0"/>
    <xf numFmtId="0" fontId="88" fillId="30" borderId="0" applyNumberFormat="0" applyBorder="0" applyAlignment="0" applyProtection="0"/>
    <xf numFmtId="9" fontId="0" fillId="0" borderId="0" applyFont="0" applyFill="0" applyBorder="0" applyAlignment="0" applyProtection="0"/>
    <xf numFmtId="0" fontId="89" fillId="0" borderId="7" applyNumberFormat="0" applyFill="0" applyAlignment="0" applyProtection="0"/>
    <xf numFmtId="0" fontId="5" fillId="0" borderId="0" applyNumberFormat="0" applyFill="0" applyBorder="0" applyAlignment="0" applyProtection="0"/>
    <xf numFmtId="0" fontId="90" fillId="31" borderId="8"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9" applyNumberFormat="0" applyFill="0" applyAlignment="0" applyProtection="0"/>
    <xf numFmtId="0" fontId="94"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34" fillId="33" borderId="53" xfId="35" applyFont="1" applyFill="1" applyBorder="1" applyAlignment="1" applyProtection="1">
      <alignment vertical="center"/>
      <protection locked="0"/>
    </xf>
    <xf numFmtId="0" fontId="34" fillId="0" borderId="54" xfId="0" applyFont="1" applyBorder="1" applyAlignment="1" applyProtection="1">
      <alignment vertical="center"/>
      <protection locked="0"/>
    </xf>
    <xf numFmtId="0" fontId="34" fillId="0" borderId="55" xfId="0" applyFont="1" applyBorder="1" applyAlignment="1" applyProtection="1">
      <alignment vertical="center"/>
      <protection locked="0"/>
    </xf>
    <xf numFmtId="0" fontId="1" fillId="0" borderId="0" xfId="0" applyFont="1" applyAlignment="1" applyProtection="1">
      <alignment horizontal="right" vertical="center" wrapText="1"/>
      <protection hidden="1"/>
    </xf>
    <xf numFmtId="0" fontId="0" fillId="0" borderId="0" xfId="0" applyBorder="1" applyAlignment="1">
      <alignment vertical="center" wrapText="1"/>
    </xf>
    <xf numFmtId="0" fontId="0" fillId="0" borderId="0" xfId="0" applyAlignment="1">
      <alignment vertical="center" wrapText="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 fillId="0" borderId="0" xfId="0" applyFont="1" applyAlignment="1">
      <alignment horizontal="right" vertical="center"/>
    </xf>
    <xf numFmtId="49" fontId="13" fillId="33" borderId="53" xfId="0" applyNumberFormat="1" applyFon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0" fontId="41"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34"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0" borderId="59"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0"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9" xfId="0" applyNumberFormat="1" applyFont="1" applyFill="1" applyBorder="1" applyAlignment="1" applyProtection="1">
      <alignment horizontal="center" vertical="center" shrinkToFit="1"/>
      <protection locked="0"/>
    </xf>
    <xf numFmtId="1" fontId="24" fillId="33" borderId="60" xfId="0" applyNumberFormat="1" applyFont="1" applyFill="1" applyBorder="1" applyAlignment="1" applyProtection="1">
      <alignment horizontal="center" vertical="center" shrinkToFit="1"/>
      <protection locked="0"/>
    </xf>
    <xf numFmtId="0" fontId="0" fillId="0" borderId="0" xfId="0" applyAlignment="1">
      <alignment vertical="center"/>
    </xf>
    <xf numFmtId="0" fontId="0" fillId="0" borderId="61" xfId="0" applyBorder="1" applyAlignment="1">
      <alignment vertical="center"/>
    </xf>
    <xf numFmtId="49" fontId="13" fillId="33" borderId="55" xfId="0" applyNumberFormat="1" applyFont="1" applyFill="1" applyBorder="1" applyAlignment="1" applyProtection="1">
      <alignment horizontal="center" vertical="center"/>
      <protection locked="0"/>
    </xf>
    <xf numFmtId="0" fontId="7" fillId="0" borderId="0" xfId="0" applyFont="1" applyAlignment="1">
      <alignment horizontal="right" vertical="center" shrinkToFit="1"/>
    </xf>
    <xf numFmtId="14" fontId="34" fillId="33" borderId="59" xfId="0" applyNumberFormat="1" applyFont="1" applyFill="1" applyBorder="1" applyAlignment="1" applyProtection="1">
      <alignment horizontal="center" vertical="center"/>
      <protection locked="0"/>
    </xf>
    <xf numFmtId="14" fontId="56" fillId="33" borderId="60" xfId="0" applyNumberFormat="1" applyFont="1" applyFill="1" applyBorder="1" applyAlignment="1" applyProtection="1">
      <alignment horizontal="center" vertical="center"/>
      <protection locked="0"/>
    </xf>
    <xf numFmtId="0" fontId="9" fillId="41" borderId="62" xfId="0" applyFont="1" applyFill="1" applyBorder="1" applyAlignment="1" applyProtection="1">
      <alignment horizontal="left" vertical="center" wrapText="1"/>
      <protection hidden="1"/>
    </xf>
    <xf numFmtId="0" fontId="0" fillId="41" borderId="63" xfId="0" applyFill="1" applyBorder="1" applyAlignment="1" applyProtection="1">
      <alignment horizontal="left" vertical="center" wrapText="1"/>
      <protection hidden="1"/>
    </xf>
    <xf numFmtId="0" fontId="0" fillId="41" borderId="64"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2" borderId="65" xfId="0" applyNumberFormat="1" applyFont="1" applyFill="1" applyBorder="1" applyAlignment="1" applyProtection="1">
      <alignment horizontal="center" vertical="center" wrapText="1"/>
      <protection hidden="1"/>
    </xf>
    <xf numFmtId="0" fontId="60" fillId="42" borderId="66" xfId="0" applyNumberFormat="1" applyFont="1" applyFill="1" applyBorder="1" applyAlignment="1" applyProtection="1">
      <alignment horizontal="center" vertical="center" wrapText="1"/>
      <protection hidden="1"/>
    </xf>
    <xf numFmtId="0" fontId="60" fillId="42" borderId="67" xfId="0" applyNumberFormat="1" applyFont="1" applyFill="1" applyBorder="1" applyAlignment="1" applyProtection="1">
      <alignment horizontal="center" vertical="center" wrapText="1"/>
      <protection hidden="1"/>
    </xf>
    <xf numFmtId="0" fontId="39" fillId="0" borderId="68" xfId="0" applyFont="1" applyBorder="1" applyAlignment="1" applyProtection="1">
      <alignment horizontal="center" vertical="center"/>
      <protection hidden="1"/>
    </xf>
    <xf numFmtId="0" fontId="39" fillId="0" borderId="68" xfId="0" applyFont="1" applyBorder="1" applyAlignment="1" applyProtection="1">
      <alignment vertical="center"/>
      <protection hidden="1"/>
    </xf>
    <xf numFmtId="0" fontId="0" fillId="0" borderId="69" xfId="0" applyBorder="1" applyAlignment="1">
      <alignment horizontal="right" vertical="center" wrapText="1"/>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7" fillId="0" borderId="70" xfId="0" applyFont="1" applyBorder="1" applyAlignment="1" applyProtection="1">
      <alignment vertical="center"/>
      <protection hidden="1"/>
    </xf>
    <xf numFmtId="0" fontId="39" fillId="0" borderId="70" xfId="0" applyFont="1" applyBorder="1" applyAlignment="1" applyProtection="1">
      <alignment horizontal="center" vertical="center"/>
      <protection hidden="1"/>
    </xf>
    <xf numFmtId="0" fontId="0" fillId="0" borderId="70"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49" fontId="4" fillId="33" borderId="53"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0" fontId="1" fillId="0" borderId="33" xfId="0" applyFont="1" applyBorder="1" applyAlignment="1">
      <alignment horizontal="right" vertical="center"/>
    </xf>
    <xf numFmtId="0" fontId="1" fillId="0" borderId="69" xfId="0" applyFont="1" applyBorder="1" applyAlignment="1">
      <alignment horizontal="right" vertical="center"/>
    </xf>
    <xf numFmtId="0" fontId="13" fillId="33" borderId="53" xfId="0" applyFont="1" applyFill="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3" xfId="0" applyFont="1" applyFill="1" applyBorder="1" applyAlignment="1" applyProtection="1">
      <alignmen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7" fillId="0" borderId="0" xfId="0" applyFont="1" applyBorder="1" applyAlignment="1" applyProtection="1">
      <alignment horizontal="left" vertical="center"/>
      <protection hidden="1"/>
    </xf>
    <xf numFmtId="0" fontId="2" fillId="0" borderId="11" xfId="0" applyFont="1" applyBorder="1" applyAlignment="1" applyProtection="1">
      <alignment horizontal="left" vertical="center" wrapText="1" indent="2"/>
      <protection hidden="1"/>
    </xf>
    <xf numFmtId="0" fontId="58" fillId="0" borderId="33" xfId="0" applyFont="1" applyBorder="1" applyAlignment="1" applyProtection="1">
      <alignment horizontal="left" vertical="center" wrapText="1" indent="2"/>
      <protection hidden="1"/>
    </xf>
    <xf numFmtId="0" fontId="58" fillId="0" borderId="0" xfId="0" applyFont="1" applyBorder="1" applyAlignment="1">
      <alignment horizontal="left" vertical="center" wrapText="1" indent="2"/>
    </xf>
    <xf numFmtId="0" fontId="58" fillId="0" borderId="33" xfId="0" applyFont="1" applyBorder="1" applyAlignment="1" applyProtection="1">
      <alignment horizontal="left" vertical="center" indent="2" shrinkToFit="1"/>
      <protection hidden="1"/>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69" xfId="0" applyFont="1" applyBorder="1" applyAlignment="1" applyProtection="1">
      <alignment horizontal="left" vertical="center"/>
      <protection hidden="1"/>
    </xf>
    <xf numFmtId="0" fontId="2" fillId="0" borderId="71" xfId="0" applyFont="1" applyBorder="1" applyAlignment="1" applyProtection="1">
      <alignment horizontal="left" vertical="center" wrapText="1" indent="2"/>
      <protection hidden="1"/>
    </xf>
    <xf numFmtId="0" fontId="0" fillId="0" borderId="70" xfId="0" applyBorder="1" applyAlignment="1">
      <alignment vertical="center"/>
    </xf>
    <xf numFmtId="0" fontId="0" fillId="0" borderId="0" xfId="0" applyBorder="1" applyAlignment="1">
      <alignment vertical="center"/>
    </xf>
    <xf numFmtId="0" fontId="7" fillId="0" borderId="70" xfId="0" applyFont="1" applyBorder="1" applyAlignment="1">
      <alignment vertical="center"/>
    </xf>
    <xf numFmtId="0" fontId="14" fillId="0" borderId="18" xfId="0" applyFont="1" applyBorder="1" applyAlignment="1">
      <alignment vertical="center"/>
    </xf>
    <xf numFmtId="0" fontId="0" fillId="0" borderId="18" xfId="0" applyBorder="1" applyAlignment="1">
      <alignment vertical="center"/>
    </xf>
    <xf numFmtId="0" fontId="13" fillId="33" borderId="53" xfId="0" applyFont="1" applyFill="1" applyBorder="1" applyAlignment="1" applyProtection="1">
      <alignment horizontal="left" vertical="center" shrinkToFit="1"/>
      <protection locked="0"/>
    </xf>
    <xf numFmtId="0" fontId="1" fillId="0" borderId="0" xfId="0" applyFont="1" applyBorder="1" applyAlignment="1" applyProtection="1">
      <alignment horizontal="right" vertical="center" wrapText="1"/>
      <protection hidden="1"/>
    </xf>
    <xf numFmtId="0" fontId="7" fillId="0" borderId="33" xfId="0" applyFont="1" applyBorder="1" applyAlignment="1">
      <alignment vertical="center"/>
    </xf>
    <xf numFmtId="49" fontId="13" fillId="0" borderId="55"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49" fontId="0" fillId="0" borderId="54"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58" fillId="0" borderId="0" xfId="0" applyFont="1" applyAlignment="1" applyProtection="1">
      <alignment horizontal="left" vertical="center" indent="2" shrinkToFit="1"/>
      <protection hidden="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57" fillId="0" borderId="72" xfId="0" applyFont="1" applyBorder="1" applyAlignment="1">
      <alignment horizontal="left" vertical="center" indent="2"/>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1" fillId="34" borderId="12" xfId="0" applyFont="1" applyFill="1" applyBorder="1" applyAlignment="1">
      <alignment horizontal="left" vertical="center" wrapText="1"/>
    </xf>
    <xf numFmtId="0" fontId="37" fillId="34" borderId="12" xfId="0" applyFont="1" applyFill="1" applyBorder="1" applyAlignment="1">
      <alignment vertical="center"/>
    </xf>
    <xf numFmtId="0" fontId="8" fillId="0" borderId="13"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2" fillId="0" borderId="13"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6" fillId="0" borderId="13" xfId="0" applyFont="1" applyFill="1" applyBorder="1" applyAlignment="1">
      <alignment horizontal="left" vertical="center" wrapText="1"/>
    </xf>
    <xf numFmtId="0" fontId="35" fillId="0" borderId="12"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11" fillId="0" borderId="14" xfId="0" applyFont="1" applyFill="1" applyBorder="1" applyAlignment="1">
      <alignment horizontal="left" vertical="center" wrapText="1" indent="1"/>
    </xf>
    <xf numFmtId="0" fontId="2" fillId="0" borderId="14" xfId="0" applyFont="1" applyFill="1" applyBorder="1" applyAlignment="1">
      <alignment horizontal="left" vertical="center" wrapTex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11" fillId="44" borderId="62" xfId="0" applyFont="1" applyFill="1" applyBorder="1" applyAlignment="1">
      <alignment horizontal="left" vertical="center" shrinkToFit="1"/>
    </xf>
    <xf numFmtId="0" fontId="3"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3" fillId="0" borderId="13"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3" fillId="0" borderId="14" xfId="0" applyFont="1" applyBorder="1" applyAlignment="1">
      <alignment horizontal="left" vertical="center" wrapText="1" indent="1"/>
    </xf>
    <xf numFmtId="0" fontId="11" fillId="0" borderId="14" xfId="0" applyFont="1" applyFill="1" applyBorder="1" applyAlignment="1">
      <alignment horizontal="left" vertic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3" fillId="0" borderId="24" xfId="0" applyFont="1" applyFill="1" applyBorder="1" applyAlignment="1">
      <alignment horizontal="left" vertical="center" wrapText="1"/>
    </xf>
    <xf numFmtId="0" fontId="1" fillId="0" borderId="15" xfId="0" applyFont="1" applyBorder="1" applyAlignment="1">
      <alignment horizontal="left" vertical="center" wrapText="1"/>
    </xf>
    <xf numFmtId="0" fontId="15" fillId="0" borderId="31" xfId="0" applyFont="1" applyBorder="1" applyAlignment="1">
      <alignment horizontal="left"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45" borderId="77" xfId="0" applyFont="1" applyFill="1" applyBorder="1" applyAlignment="1">
      <alignment horizontal="left" vertical="center"/>
    </xf>
    <xf numFmtId="0" fontId="1" fillId="0" borderId="77" xfId="0" applyFont="1" applyBorder="1" applyAlignment="1">
      <alignment vertical="center"/>
    </xf>
    <xf numFmtId="0" fontId="10" fillId="0" borderId="15" xfId="0" applyFont="1" applyBorder="1" applyAlignment="1">
      <alignment horizontal="left" vertical="center" wrapText="1"/>
    </xf>
    <xf numFmtId="0" fontId="1" fillId="0" borderId="77"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 fillId="0" borderId="30" xfId="0" applyFont="1" applyBorder="1" applyAlignment="1">
      <alignment/>
    </xf>
    <xf numFmtId="0" fontId="1" fillId="0" borderId="2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9" xfId="0" applyFont="1" applyFill="1" applyBorder="1" applyAlignment="1">
      <alignment horizontal="left" vertical="center"/>
    </xf>
    <xf numFmtId="0" fontId="46" fillId="45" borderId="79" xfId="0" applyFont="1" applyFill="1" applyBorder="1" applyAlignment="1">
      <alignment vertical="center"/>
    </xf>
    <xf numFmtId="0" fontId="1" fillId="0" borderId="79"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80" xfId="0" applyFont="1" applyBorder="1" applyAlignment="1">
      <alignment/>
    </xf>
    <xf numFmtId="0" fontId="1" fillId="0" borderId="13" xfId="0" applyFont="1" applyFill="1" applyBorder="1" applyAlignment="1" applyProtection="1">
      <alignment horizontal="left" vertical="center" wrapText="1"/>
      <protection hidden="1"/>
    </xf>
    <xf numFmtId="0" fontId="1" fillId="0" borderId="12" xfId="0" applyFont="1" applyFill="1" applyBorder="1" applyAlignment="1" applyProtection="1">
      <alignment horizontal="left" vertical="center" wrapText="1"/>
      <protection hidden="1"/>
    </xf>
    <xf numFmtId="0" fontId="13" fillId="44" borderId="81" xfId="0" applyFont="1" applyFill="1" applyBorder="1" applyAlignment="1">
      <alignment horizontal="left" vertical="center" shrinkToFit="1"/>
    </xf>
    <xf numFmtId="0" fontId="14" fillId="44" borderId="82" xfId="0" applyFont="1" applyFill="1" applyBorder="1" applyAlignment="1">
      <alignment horizontal="left" vertical="center" shrinkToFit="1"/>
    </xf>
    <xf numFmtId="0" fontId="14" fillId="44" borderId="83" xfId="0" applyFont="1" applyFill="1" applyBorder="1" applyAlignment="1">
      <alignment horizontal="left" vertical="center" shrinkToFit="1"/>
    </xf>
    <xf numFmtId="0" fontId="1" fillId="0" borderId="14" xfId="0" applyFont="1" applyFill="1" applyBorder="1" applyAlignment="1" applyProtection="1">
      <alignment horizontal="left" vertical="center" wrapText="1"/>
      <protection hidden="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2" xfId="0" applyFont="1" applyFill="1" applyBorder="1" applyAlignment="1">
      <alignment horizontal="left" vertical="center" shrinkToFit="1"/>
    </xf>
    <xf numFmtId="0" fontId="14"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23" fillId="35" borderId="62" xfId="0" applyFont="1" applyFill="1" applyBorder="1" applyAlignment="1" applyProtection="1">
      <alignment horizontal="left" vertical="center" wrapText="1"/>
      <protection hidden="1"/>
    </xf>
    <xf numFmtId="0" fontId="14" fillId="0" borderId="63"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59"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0" xfId="0" applyFont="1" applyFill="1" applyBorder="1" applyAlignment="1">
      <alignment vertical="center" wrapText="1"/>
    </xf>
    <xf numFmtId="0" fontId="1" fillId="35" borderId="63" xfId="0" applyFont="1" applyFill="1" applyBorder="1" applyAlignment="1">
      <alignment horizontal="right" vertical="center" wrapText="1"/>
    </xf>
    <xf numFmtId="0" fontId="0" fillId="35" borderId="64"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1" fillId="0" borderId="85" xfId="0" applyFont="1" applyFill="1" applyBorder="1" applyAlignment="1" applyProtection="1">
      <alignment horizontal="left" vertical="center" wrapText="1"/>
      <protection hidden="1"/>
    </xf>
    <xf numFmtId="0" fontId="1" fillId="0" borderId="86" xfId="0" applyFont="1" applyFill="1" applyBorder="1" applyAlignment="1" applyProtection="1">
      <alignment horizontal="left" vertical="center" wrapText="1"/>
      <protection hidden="1"/>
    </xf>
    <xf numFmtId="0" fontId="1" fillId="0" borderId="87"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f>IF(Bilanca!H10=0,"",Bilanca!H10)</f>
      </c>
      <c r="H3" s="26">
        <f>J3/100*F3+2*K3/100*F3</f>
        <v>0</v>
      </c>
      <c r="I3" s="27">
        <f>ABS(ROUND(J3,0)-J3)+ABS(ROUND(K3,0)-K3)</f>
        <v>0</v>
      </c>
      <c r="J3" s="27">
        <f>Bilanca!I10</f>
        <v>0</v>
      </c>
      <c r="K3" s="27">
        <f>Bilanca!J10</f>
        <v>0</v>
      </c>
    </row>
    <row r="4" spans="1:11" ht="12.75">
      <c r="A4" s="4" t="s">
        <v>2697</v>
      </c>
      <c r="B4" s="25" t="s">
        <v>364</v>
      </c>
      <c r="D4" s="4" t="s">
        <v>554</v>
      </c>
      <c r="E4" s="4">
        <v>1</v>
      </c>
      <c r="F4" s="4">
        <f>Bilanca!G11</f>
        <v>3</v>
      </c>
      <c r="G4" s="4">
        <f>IF(Bilanca!H11=0,"",Bilanca!H11)</f>
      </c>
      <c r="H4" s="26">
        <f>J4/100*F4+2*K4/100*F4</f>
        <v>0</v>
      </c>
      <c r="I4" s="27">
        <f>ABS(ROUND(J4,0)-J4)+ABS(ROUND(K4,0)-K4)</f>
        <v>0</v>
      </c>
      <c r="J4" s="27">
        <f>Bilanca!I11</f>
        <v>0</v>
      </c>
      <c r="K4" s="27">
        <f>Bilanca!J11</f>
        <v>0</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04674766</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081072355</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34347571917</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AQUAPARK ZELINA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10380</v>
      </c>
      <c r="D10" s="4" t="s">
        <v>554</v>
      </c>
      <c r="E10" s="4">
        <v>1</v>
      </c>
      <c r="F10" s="4">
        <f>Bilanca!G17</f>
        <v>9</v>
      </c>
      <c r="G10" s="4">
        <f>IF(Bilanca!H17=0,"",Bilanca!H17)</f>
      </c>
      <c r="H10" s="26">
        <f t="shared" si="0"/>
        <v>0</v>
      </c>
      <c r="I10" s="27">
        <f t="shared" si="1"/>
        <v>0</v>
      </c>
      <c r="J10" s="27">
        <f>Bilanca!I17</f>
        <v>0</v>
      </c>
      <c r="K10" s="27">
        <f>Bilanca!J17</f>
        <v>0</v>
      </c>
    </row>
    <row r="11" spans="1:11" ht="12.75">
      <c r="A11" s="4" t="s">
        <v>2737</v>
      </c>
      <c r="B11" s="25" t="str">
        <f>TRIM(RefStr!F31)</f>
        <v>SVETI IVAN ZELINA</v>
      </c>
      <c r="D11" s="4" t="s">
        <v>554</v>
      </c>
      <c r="E11" s="4">
        <v>1</v>
      </c>
      <c r="F11" s="4">
        <f>Bilanca!G18</f>
        <v>10</v>
      </c>
      <c r="G11" s="4">
        <f>IF(Bilanca!H18=0,"",Bilanca!H18)</f>
      </c>
      <c r="H11" s="26">
        <f t="shared" si="0"/>
        <v>0</v>
      </c>
      <c r="I11" s="27">
        <f t="shared" si="1"/>
        <v>0</v>
      </c>
      <c r="J11" s="27">
        <f>Bilanca!I18</f>
        <v>0</v>
      </c>
      <c r="K11" s="27">
        <f>Bilanca!J18</f>
        <v>0</v>
      </c>
    </row>
    <row r="12" spans="1:11" ht="12.75">
      <c r="A12" s="4" t="s">
        <v>2738</v>
      </c>
      <c r="B12" s="25" t="str">
        <f>TRIM(RefStr!C33)</f>
        <v>TRG ANTE STARČEVIĆA 12</v>
      </c>
      <c r="D12" s="4" t="s">
        <v>554</v>
      </c>
      <c r="E12" s="4">
        <v>1</v>
      </c>
      <c r="F12" s="4">
        <f>Bilanca!G19</f>
        <v>11</v>
      </c>
      <c r="G12" s="4">
        <f>IF(Bilanca!H19=0,"",Bilanca!H19)</f>
      </c>
      <c r="H12" s="26">
        <f t="shared" si="0"/>
        <v>0</v>
      </c>
      <c r="I12" s="27">
        <f t="shared" si="1"/>
        <v>0</v>
      </c>
      <c r="J12" s="27">
        <f>Bilanca!I19</f>
        <v>0</v>
      </c>
      <c r="K12" s="27">
        <f>Bilanca!J19</f>
        <v>0</v>
      </c>
    </row>
    <row r="13" spans="1:11" ht="12.75">
      <c r="A13" s="4" t="s">
        <v>2884</v>
      </c>
      <c r="B13" s="25" t="str">
        <f>TRIM(RefStr!C35)</f>
        <v>aquapark@zelina.hr</v>
      </c>
      <c r="D13" s="4" t="s">
        <v>554</v>
      </c>
      <c r="E13" s="4">
        <v>1</v>
      </c>
      <c r="F13" s="4">
        <f>Bilanca!G20</f>
        <v>12</v>
      </c>
      <c r="G13" s="4">
        <f>IF(Bilanca!H20=0,"",Bilanca!H20)</f>
      </c>
      <c r="H13" s="26">
        <f t="shared" si="0"/>
        <v>0</v>
      </c>
      <c r="I13" s="27">
        <f t="shared" si="1"/>
        <v>0</v>
      </c>
      <c r="J13" s="27">
        <f>Bilanca!I20</f>
        <v>0</v>
      </c>
      <c r="K13" s="27">
        <f>Bilanca!J20</f>
        <v>0</v>
      </c>
    </row>
    <row r="14" spans="1:11" ht="12.75">
      <c r="A14" s="4" t="s">
        <v>2885</v>
      </c>
      <c r="B14" s="25" t="str">
        <f>TRIM(RefStr!C37)</f>
        <v>www.aquapark@zelina.hr</v>
      </c>
      <c r="D14" s="4" t="s">
        <v>554</v>
      </c>
      <c r="E14" s="4">
        <v>1</v>
      </c>
      <c r="F14" s="4">
        <f>Bilanca!G21</f>
        <v>13</v>
      </c>
      <c r="G14" s="4">
        <f>IF(Bilanca!H21=0,"",Bilanca!H21)</f>
      </c>
      <c r="H14" s="26">
        <f t="shared" si="0"/>
        <v>0</v>
      </c>
      <c r="I14" s="27">
        <f t="shared" si="1"/>
        <v>0</v>
      </c>
      <c r="J14" s="27">
        <f>Bilanca!I21</f>
        <v>0</v>
      </c>
      <c r="K14" s="27">
        <f>Bilanca!J21</f>
        <v>0</v>
      </c>
    </row>
    <row r="15" spans="1:11" ht="12.75">
      <c r="A15" s="4" t="s">
        <v>2741</v>
      </c>
      <c r="B15" s="25" t="str">
        <f>TEXT(RefStr!J39,"00")</f>
        <v>01</v>
      </c>
      <c r="D15" s="4" t="s">
        <v>554</v>
      </c>
      <c r="E15" s="4">
        <v>1</v>
      </c>
      <c r="F15" s="4">
        <f>Bilanca!G22</f>
        <v>14</v>
      </c>
      <c r="G15" s="4">
        <f>IF(Bilanca!H22=0,"",Bilanca!H22)</f>
      </c>
      <c r="H15" s="26">
        <f t="shared" si="0"/>
        <v>0</v>
      </c>
      <c r="I15" s="27">
        <f t="shared" si="1"/>
        <v>0</v>
      </c>
      <c r="J15" s="27">
        <f>Bilanca!I22</f>
        <v>0</v>
      </c>
      <c r="K15" s="27">
        <f>Bilanca!J22</f>
        <v>0</v>
      </c>
    </row>
    <row r="16" spans="1:11" ht="12.75">
      <c r="A16" s="4" t="s">
        <v>2740</v>
      </c>
      <c r="B16" s="25" t="str">
        <f>TEXT(RefStr!C39,"000")</f>
        <v>429</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9329</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f>IF(Bilanca!H25=0,"",Bilanca!H25)</f>
      </c>
      <c r="H18" s="26">
        <f t="shared" si="0"/>
        <v>0</v>
      </c>
      <c r="I18" s="27">
        <f t="shared" si="1"/>
        <v>0</v>
      </c>
      <c r="J18" s="27">
        <f>Bilanca!I25</f>
        <v>0</v>
      </c>
      <c r="K18" s="27">
        <f>Bilanca!J25</f>
        <v>0</v>
      </c>
    </row>
    <row r="19" spans="1:11" ht="12.75">
      <c r="A19" s="4" t="s">
        <v>2887</v>
      </c>
      <c r="B19" s="25" t="str">
        <f>IF(RefStr!I21&lt;&gt;"",RefStr!I21,"")</f>
        <v>NE</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3</v>
      </c>
      <c r="D20" s="4" t="s">
        <v>554</v>
      </c>
      <c r="E20" s="4">
        <v>1</v>
      </c>
      <c r="F20" s="4">
        <f>Bilanca!G27</f>
        <v>19</v>
      </c>
      <c r="G20" s="4">
        <f>IF(Bilanca!H27=0,"",Bilanca!H27)</f>
      </c>
      <c r="H20" s="26">
        <f t="shared" si="0"/>
        <v>0</v>
      </c>
      <c r="I20" s="27">
        <f t="shared" si="1"/>
        <v>0</v>
      </c>
      <c r="J20" s="27">
        <f>Bilanca!I27</f>
        <v>0</v>
      </c>
      <c r="K20" s="27">
        <f>Bilanca!J27</f>
        <v>0</v>
      </c>
    </row>
    <row r="21" spans="1:11" ht="12.75">
      <c r="A21" s="4" t="s">
        <v>2889</v>
      </c>
      <c r="B21" s="25">
        <f>IF(RefStr!C50&gt;0,IF(RefStr!C50=1,4,RefStr!C50-1),RefStr!C50)</f>
        <v>4</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0</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0</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0</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0</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16363.989999999998</v>
      </c>
      <c r="I38" s="27">
        <f t="shared" si="1"/>
        <v>0</v>
      </c>
      <c r="J38" s="27">
        <f>Bilanca!I45</f>
        <v>15451</v>
      </c>
      <c r="K38" s="27">
        <f>Bilanca!J45</f>
        <v>14388</v>
      </c>
    </row>
    <row r="39" spans="1:11" ht="12.75">
      <c r="A39" s="4" t="s">
        <v>1611</v>
      </c>
      <c r="B39" s="25" t="str">
        <f>RefStr!C68</f>
        <v>IVAN DANANIĆ</v>
      </c>
      <c r="D39" s="4" t="s">
        <v>554</v>
      </c>
      <c r="E39" s="4">
        <v>1</v>
      </c>
      <c r="F39" s="4">
        <f>Bilanca!G46</f>
        <v>38</v>
      </c>
      <c r="G39" s="4">
        <f>IF(Bilanca!H46=0,"",Bilanca!H46)</f>
      </c>
      <c r="H39" s="26">
        <f t="shared" si="0"/>
        <v>0</v>
      </c>
      <c r="I39" s="27">
        <f t="shared" si="1"/>
        <v>0</v>
      </c>
      <c r="J39" s="27">
        <f>Bilanca!I46</f>
        <v>0</v>
      </c>
      <c r="K39" s="27">
        <f>Bilanca!J46</f>
        <v>0</v>
      </c>
    </row>
    <row r="40" spans="1:11" ht="12.75">
      <c r="A40" s="4" t="s">
        <v>1612</v>
      </c>
      <c r="B40" s="25" t="str">
        <f>TRIM(RefStr!C70)</f>
        <v>01/2040752</v>
      </c>
      <c r="D40" s="4" t="s">
        <v>554</v>
      </c>
      <c r="E40" s="4">
        <v>1</v>
      </c>
      <c r="F40" s="4">
        <f>Bilanca!G47</f>
        <v>39</v>
      </c>
      <c r="G40" s="4">
        <f>IF(Bilanca!H47=0,"",Bilanca!H47)</f>
      </c>
      <c r="H40" s="26">
        <f t="shared" si="0"/>
        <v>0</v>
      </c>
      <c r="I40" s="27">
        <f t="shared" si="1"/>
        <v>0</v>
      </c>
      <c r="J40" s="27">
        <f>Bilanca!I47</f>
        <v>0</v>
      </c>
      <c r="K40" s="27">
        <f>Bilanca!J47</f>
        <v>0</v>
      </c>
    </row>
    <row r="41" spans="1:11" ht="12.75">
      <c r="A41" s="4" t="s">
        <v>1613</v>
      </c>
      <c r="B41" s="25" t="s">
        <v>72</v>
      </c>
      <c r="D41" s="4" t="s">
        <v>554</v>
      </c>
      <c r="E41" s="4">
        <v>1</v>
      </c>
      <c r="F41" s="4">
        <f>Bilanca!G48</f>
        <v>40</v>
      </c>
      <c r="G41" s="4">
        <f>IF(Bilanca!H48=0,"",Bilanca!H48)</f>
      </c>
      <c r="H41" s="26">
        <f t="shared" si="0"/>
        <v>0</v>
      </c>
      <c r="I41" s="27">
        <f t="shared" si="1"/>
        <v>0</v>
      </c>
      <c r="J41" s="27">
        <f>Bilanca!I48</f>
        <v>0</v>
      </c>
      <c r="K41" s="27">
        <f>Bilanca!J48</f>
        <v>0</v>
      </c>
    </row>
    <row r="42" spans="1:11" ht="12.75">
      <c r="A42" s="4" t="s">
        <v>1300</v>
      </c>
      <c r="B42" s="25" t="str">
        <f>TRIM(RefStr!C72)</f>
        <v>ivan.dananic@zelkom.hr</v>
      </c>
      <c r="D42" s="4" t="s">
        <v>554</v>
      </c>
      <c r="E42" s="4">
        <v>1</v>
      </c>
      <c r="F42" s="4">
        <f>Bilanca!G49</f>
        <v>41</v>
      </c>
      <c r="G42" s="4">
        <f>IF(Bilanca!H49=0,"",Bilanca!H49)</f>
      </c>
      <c r="H42" s="26">
        <f t="shared" si="0"/>
        <v>0</v>
      </c>
      <c r="I42" s="27">
        <f t="shared" si="1"/>
        <v>0</v>
      </c>
      <c r="J42" s="27">
        <f>Bilanca!I49</f>
        <v>0</v>
      </c>
      <c r="K42" s="27">
        <f>Bilanca!J49</f>
        <v>0</v>
      </c>
    </row>
    <row r="43" spans="1:11" ht="12.75">
      <c r="A43" s="4" t="s">
        <v>1299</v>
      </c>
      <c r="B43" s="25" t="str">
        <f>TRIM(RefStr!A75)</f>
        <v>DANANIĆ IVAN</v>
      </c>
      <c r="D43" s="4" t="s">
        <v>554</v>
      </c>
      <c r="E43" s="4">
        <v>1</v>
      </c>
      <c r="F43" s="4">
        <f>Bilanca!G50</f>
        <v>42</v>
      </c>
      <c r="G43" s="4">
        <f>IF(Bilanca!H50=0,"",Bilanca!H50)</f>
      </c>
      <c r="H43" s="26">
        <f t="shared" si="0"/>
        <v>0</v>
      </c>
      <c r="I43" s="27">
        <f t="shared" si="1"/>
        <v>0</v>
      </c>
      <c r="J43" s="27">
        <f>Bilanca!I50</f>
        <v>0</v>
      </c>
      <c r="K43" s="27">
        <f>Bilanca!J50</f>
        <v>0</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0</v>
      </c>
      <c r="I47" s="27">
        <f t="shared" si="3"/>
        <v>0</v>
      </c>
      <c r="J47" s="27">
        <f>Bilanca!I54</f>
        <v>0</v>
      </c>
      <c r="K47" s="27">
        <f>Bilanca!J54</f>
        <v>0</v>
      </c>
    </row>
    <row r="48" spans="1:11" ht="12.75">
      <c r="A48" s="4" t="s">
        <v>2226</v>
      </c>
      <c r="B48" s="25" t="str">
        <f>RefStr!I54</f>
        <v>DA</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NE</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f>IF(Bilanca!H57=0,"",Bilanca!H57)</f>
      </c>
      <c r="H50" s="26">
        <f t="shared" si="2"/>
        <v>0</v>
      </c>
      <c r="I50" s="27">
        <f t="shared" si="3"/>
        <v>0</v>
      </c>
      <c r="J50" s="27">
        <f>Bilanca!I57</f>
        <v>0</v>
      </c>
      <c r="K50" s="27">
        <f>Bilanca!J57</f>
        <v>0</v>
      </c>
    </row>
    <row r="51" spans="1:11" ht="12.75">
      <c r="A51" s="4" t="s">
        <v>1035</v>
      </c>
      <c r="B51" s="25" t="str">
        <f>RefStr!I60</f>
        <v>NE</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f>IF(Bilanca!H59=0,"",Bilanca!H59)</f>
      </c>
      <c r="H52" s="26">
        <f t="shared" si="2"/>
        <v>0</v>
      </c>
      <c r="I52" s="27">
        <f t="shared" si="3"/>
        <v>0</v>
      </c>
      <c r="J52" s="27">
        <f>Bilanca!I59</f>
        <v>0</v>
      </c>
      <c r="K52" s="27">
        <f>Bilanca!J59</f>
        <v>0</v>
      </c>
    </row>
    <row r="53" spans="1:11" ht="12.75">
      <c r="A53" s="4" t="s">
        <v>1301</v>
      </c>
      <c r="B53" s="25" t="str">
        <f>RefStr!I56</f>
        <v>DA</v>
      </c>
      <c r="D53" s="4" t="s">
        <v>554</v>
      </c>
      <c r="E53" s="4">
        <v>1</v>
      </c>
      <c r="F53" s="4">
        <f>Bilanca!G60</f>
        <v>52</v>
      </c>
      <c r="G53" s="4">
        <f>IF(Bilanca!H60=0,"",Bilanca!H60)</f>
      </c>
      <c r="H53" s="26">
        <f t="shared" si="2"/>
        <v>0</v>
      </c>
      <c r="I53" s="27">
        <f t="shared" si="3"/>
        <v>0</v>
      </c>
      <c r="J53" s="27">
        <f>Bilanca!I60</f>
        <v>0</v>
      </c>
      <c r="K53" s="27">
        <f>Bilanca!J60</f>
        <v>0</v>
      </c>
    </row>
    <row r="54" spans="1:11" ht="12.75">
      <c r="A54" s="4" t="s">
        <v>1302</v>
      </c>
      <c r="B54" s="25" t="str">
        <f>RefStr!I62</f>
        <v>NE</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NE</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345791512.94000006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00000000000</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f>IF(Bilanca!H71=0,"",Bilanca!H71)</f>
      </c>
      <c r="H64" s="26">
        <f t="shared" si="2"/>
        <v>27863.010000000002</v>
      </c>
      <c r="I64" s="27">
        <f t="shared" si="3"/>
        <v>0</v>
      </c>
      <c r="J64" s="27">
        <f>Bilanca!I71</f>
        <v>15451</v>
      </c>
      <c r="K64" s="27">
        <f>Bilanca!J71</f>
        <v>14388</v>
      </c>
    </row>
    <row r="65" spans="1:11" ht="12.75">
      <c r="A65" s="4" t="s">
        <v>923</v>
      </c>
      <c r="B65" s="25" t="str">
        <f>TRIM(RefStr!N19)</f>
        <v>HSFI</v>
      </c>
      <c r="D65" s="4" t="s">
        <v>554</v>
      </c>
      <c r="E65" s="4">
        <v>1</v>
      </c>
      <c r="F65" s="4">
        <f>Bilanca!G72</f>
        <v>64</v>
      </c>
      <c r="G65" s="4">
        <f>IF(Bilanca!H72=0,"",Bilanca!H72)</f>
      </c>
      <c r="H65" s="26">
        <f t="shared" si="2"/>
        <v>0</v>
      </c>
      <c r="I65" s="27">
        <f t="shared" si="3"/>
        <v>0</v>
      </c>
      <c r="J65" s="27">
        <f>Bilanca!I72</f>
        <v>0</v>
      </c>
      <c r="K65" s="27">
        <f>Bilanca!J72</f>
        <v>0</v>
      </c>
    </row>
    <row r="66" spans="1:11" ht="12.75">
      <c r="A66" s="4" t="s">
        <v>924</v>
      </c>
      <c r="B66" s="25">
        <f>RefStr!C23</f>
        <v>1</v>
      </c>
      <c r="D66" s="4" t="s">
        <v>554</v>
      </c>
      <c r="E66" s="4">
        <v>1</v>
      </c>
      <c r="F66" s="4">
        <f>Bilanca!G73</f>
        <v>65</v>
      </c>
      <c r="G66" s="4">
        <f>IF(Bilanca!H73=0,"",Bilanca!H73)</f>
      </c>
      <c r="H66" s="26">
        <f t="shared" si="2"/>
        <v>28747.549999999996</v>
      </c>
      <c r="I66" s="27">
        <f t="shared" si="3"/>
        <v>0</v>
      </c>
      <c r="J66" s="27">
        <f>Bilanca!I73</f>
        <v>15451</v>
      </c>
      <c r="K66" s="27">
        <f>Bilanca!J73</f>
        <v>14388</v>
      </c>
    </row>
    <row r="67" spans="1:11" ht="12.75">
      <c r="A67" s="4" t="s">
        <v>925</v>
      </c>
      <c r="B67" s="25" t="str">
        <f>TRIM(RefStr!L35)</f>
        <v>01/2040752</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29494.07</v>
      </c>
      <c r="I68" s="27">
        <f t="shared" si="3"/>
        <v>0</v>
      </c>
      <c r="J68" s="27">
        <f>Bilanca!I76</f>
        <v>15385</v>
      </c>
      <c r="K68" s="27">
        <f>Bilanca!J76</f>
        <v>14318</v>
      </c>
    </row>
    <row r="69" spans="1:11" ht="12.75">
      <c r="A69" s="4" t="s">
        <v>927</v>
      </c>
      <c r="B69" s="25">
        <f>TRIM(RefStr!M46)</f>
      </c>
      <c r="D69" s="4" t="s">
        <v>554</v>
      </c>
      <c r="E69" s="4">
        <v>1</v>
      </c>
      <c r="F69" s="4">
        <f>Bilanca!G77</f>
        <v>68</v>
      </c>
      <c r="G69" s="4">
        <f>IF(Bilanca!H77=0,"",Bilanca!H77)</f>
      </c>
      <c r="H69" s="26">
        <f t="shared" si="2"/>
        <v>40800</v>
      </c>
      <c r="I69" s="27">
        <f t="shared" si="3"/>
        <v>0</v>
      </c>
      <c r="J69" s="27">
        <f>Bilanca!I77</f>
        <v>20000</v>
      </c>
      <c r="K69" s="27">
        <f>Bilanca!J77</f>
        <v>20000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f>IF(Bilanca!H79=0,"",Bilanca!H79)</f>
      </c>
      <c r="H71" s="26">
        <f t="shared" si="2"/>
        <v>0</v>
      </c>
      <c r="I71" s="27">
        <f t="shared" si="3"/>
        <v>0</v>
      </c>
      <c r="J71" s="27">
        <f>Bilanca!I79</f>
        <v>0</v>
      </c>
      <c r="K71" s="27">
        <f>Bilanca!J79</f>
        <v>0</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f>IF(Bilanca!H84=0,"",Bilanca!H84)</f>
      </c>
      <c r="H76" s="26">
        <f t="shared" si="2"/>
        <v>0</v>
      </c>
      <c r="I76" s="27">
        <f t="shared" si="3"/>
        <v>0</v>
      </c>
      <c r="J76" s="27">
        <f>Bilanca!I84</f>
        <v>0</v>
      </c>
      <c r="K76" s="27">
        <f>Bilanca!J84</f>
        <v>0</v>
      </c>
    </row>
    <row r="77" spans="4:11" ht="12.75">
      <c r="D77" s="4" t="s">
        <v>554</v>
      </c>
      <c r="E77" s="4">
        <v>1</v>
      </c>
      <c r="F77" s="4">
        <f>Bilanca!G85</f>
        <v>76</v>
      </c>
      <c r="G77" s="4">
        <f>IF(Bilanca!H85=0,"",Bilanca!H85)</f>
      </c>
      <c r="H77" s="26">
        <f t="shared" si="2"/>
        <v>0</v>
      </c>
      <c r="I77" s="27">
        <f t="shared" si="3"/>
        <v>0</v>
      </c>
      <c r="J77" s="27">
        <f>Bilanca!I85</f>
        <v>0</v>
      </c>
      <c r="K77" s="27">
        <f>Bilanca!J85</f>
        <v>0</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f>IF(Bilanca!H92=0,"",Bilanca!H92)</f>
      </c>
      <c r="H84" s="26">
        <f t="shared" si="2"/>
        <v>-10614.039999999999</v>
      </c>
      <c r="I84" s="27">
        <f t="shared" si="3"/>
        <v>0</v>
      </c>
      <c r="J84" s="27">
        <f>Bilanca!I92</f>
        <v>-3558</v>
      </c>
      <c r="K84" s="27">
        <f>Bilanca!J92</f>
        <v>-4615</v>
      </c>
    </row>
    <row r="85" spans="4:11" ht="12.75">
      <c r="D85" s="4" t="s">
        <v>554</v>
      </c>
      <c r="E85" s="4">
        <v>1</v>
      </c>
      <c r="F85" s="4">
        <f>Bilanca!G93</f>
        <v>84</v>
      </c>
      <c r="G85" s="4">
        <f>IF(Bilanca!H93=0,"",Bilanca!H93)</f>
      </c>
      <c r="H85" s="26">
        <f t="shared" si="2"/>
        <v>0</v>
      </c>
      <c r="I85" s="27">
        <f t="shared" si="3"/>
        <v>0</v>
      </c>
      <c r="J85" s="27">
        <f>Bilanca!I93</f>
        <v>0</v>
      </c>
      <c r="K85" s="27">
        <f>Bilanca!J93</f>
        <v>0</v>
      </c>
    </row>
    <row r="86" spans="4:11" ht="12.75">
      <c r="D86" s="4" t="s">
        <v>554</v>
      </c>
      <c r="E86" s="4">
        <v>1</v>
      </c>
      <c r="F86" s="4">
        <f>Bilanca!G94</f>
        <v>85</v>
      </c>
      <c r="G86" s="4">
        <f>IF(Bilanca!H94=0,"",Bilanca!H94)</f>
      </c>
      <c r="H86" s="26">
        <f t="shared" si="2"/>
        <v>10869.8</v>
      </c>
      <c r="I86" s="27">
        <f t="shared" si="3"/>
        <v>0</v>
      </c>
      <c r="J86" s="27">
        <f>Bilanca!I94</f>
        <v>3558</v>
      </c>
      <c r="K86" s="27">
        <f>Bilanca!J94</f>
        <v>4615</v>
      </c>
    </row>
    <row r="87" spans="4:11" ht="12.75">
      <c r="D87" s="4" t="s">
        <v>554</v>
      </c>
      <c r="E87" s="4">
        <v>1</v>
      </c>
      <c r="F87" s="4">
        <f>Bilanca!G95</f>
        <v>86</v>
      </c>
      <c r="G87" s="4">
        <f>IF(Bilanca!H95=0,"",Bilanca!H95)</f>
      </c>
      <c r="H87" s="26">
        <f>J87/100*F87+2*K87/100*F87</f>
        <v>-2744.26</v>
      </c>
      <c r="I87" s="27">
        <f>ABS(ROUND(J87,0)-J87)+ABS(ROUND(K87,0)-K87)</f>
        <v>0</v>
      </c>
      <c r="J87" s="27">
        <f>Bilanca!I95</f>
        <v>-1057</v>
      </c>
      <c r="K87" s="27">
        <f>Bilanca!J95</f>
        <v>-1067</v>
      </c>
    </row>
    <row r="88" spans="4:11" ht="12.75">
      <c r="D88" s="4" t="s">
        <v>554</v>
      </c>
      <c r="E88" s="4">
        <v>1</v>
      </c>
      <c r="F88" s="4">
        <f>Bilanca!G96</f>
        <v>87</v>
      </c>
      <c r="G88" s="4">
        <f>IF(Bilanca!H96=0,"",Bilanca!H96)</f>
      </c>
      <c r="H88" s="26">
        <f>J88/100*F88+2*K88/100*F88</f>
        <v>0</v>
      </c>
      <c r="I88" s="27">
        <f>ABS(ROUND(J88,0)-J88)+ABS(ROUND(K88,0)-K88)</f>
        <v>0</v>
      </c>
      <c r="J88" s="27">
        <f>Bilanca!I96</f>
        <v>0</v>
      </c>
      <c r="K88" s="27">
        <f>Bilanca!J96</f>
        <v>0</v>
      </c>
    </row>
    <row r="89" spans="4:11" ht="12.75">
      <c r="D89" s="4" t="s">
        <v>554</v>
      </c>
      <c r="E89" s="4">
        <v>1</v>
      </c>
      <c r="F89" s="4">
        <f>Bilanca!G97</f>
        <v>88</v>
      </c>
      <c r="G89" s="4">
        <f>IF(Bilanca!H97=0,"",Bilanca!H97)</f>
      </c>
      <c r="H89" s="26">
        <f aca="true" t="shared" si="4" ref="H89:H129">J89/100*F89+2*K89/100*F89</f>
        <v>2808.08</v>
      </c>
      <c r="I89" s="27">
        <f aca="true" t="shared" si="5" ref="I89:I129">ABS(ROUND(J89,0)-J89)+ABS(ROUND(K89,0)-K89)</f>
        <v>0</v>
      </c>
      <c r="J89" s="27">
        <f>Bilanca!I97</f>
        <v>1057</v>
      </c>
      <c r="K89" s="27">
        <f>Bilanca!J97</f>
        <v>1067</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f>IF(Bilanca!H99=0,"",Bilanca!H99)</f>
      </c>
      <c r="H91" s="26">
        <f t="shared" si="4"/>
        <v>0</v>
      </c>
      <c r="I91" s="27">
        <f t="shared" si="5"/>
        <v>0</v>
      </c>
      <c r="J91" s="27">
        <f>Bilanca!I99</f>
        <v>0</v>
      </c>
      <c r="K91" s="27">
        <f>Bilanca!J99</f>
        <v>0</v>
      </c>
    </row>
    <row r="92" spans="4:11" ht="12.75">
      <c r="D92" s="4" t="s">
        <v>554</v>
      </c>
      <c r="E92" s="4">
        <v>1</v>
      </c>
      <c r="F92" s="4">
        <f>Bilanca!G100</f>
        <v>91</v>
      </c>
      <c r="G92" s="4">
        <f>IF(Bilanca!H100=0,"",Bilanca!H100)</f>
      </c>
      <c r="H92" s="26">
        <f t="shared" si="4"/>
        <v>0</v>
      </c>
      <c r="I92" s="27">
        <f t="shared" si="5"/>
        <v>0</v>
      </c>
      <c r="J92" s="27">
        <f>Bilanca!I100</f>
        <v>0</v>
      </c>
      <c r="K92" s="27">
        <f>Bilanca!J100</f>
        <v>0</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f>IF(Bilanca!H106=0,"",Bilanca!H106)</f>
      </c>
      <c r="H98" s="26">
        <f t="shared" si="4"/>
        <v>0</v>
      </c>
      <c r="I98" s="27">
        <f t="shared" si="5"/>
        <v>0</v>
      </c>
      <c r="J98" s="27">
        <f>Bilanca!I106</f>
        <v>0</v>
      </c>
      <c r="K98" s="27">
        <f>Bilanca!J106</f>
        <v>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f>IF(Bilanca!H112=0,"",Bilanca!H112)</f>
      </c>
      <c r="H104" s="26">
        <f t="shared" si="4"/>
        <v>0</v>
      </c>
      <c r="I104" s="27">
        <f t="shared" si="5"/>
        <v>0</v>
      </c>
      <c r="J104" s="27">
        <f>Bilanca!I112</f>
        <v>0</v>
      </c>
      <c r="K104" s="27">
        <f>Bilanca!J112</f>
        <v>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224.54</v>
      </c>
      <c r="I110" s="27">
        <f t="shared" si="5"/>
        <v>0</v>
      </c>
      <c r="J110" s="27">
        <f>Bilanca!I118</f>
        <v>66</v>
      </c>
      <c r="K110" s="27">
        <f>Bilanca!J118</f>
        <v>70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f>IF(Bilanca!H123=0,"",Bilanca!H123)</f>
      </c>
      <c r="H115" s="26">
        <f t="shared" si="4"/>
        <v>0</v>
      </c>
      <c r="I115" s="27">
        <f t="shared" si="5"/>
        <v>0</v>
      </c>
      <c r="J115" s="27">
        <f>Bilanca!I123</f>
        <v>0</v>
      </c>
      <c r="K115" s="27">
        <f>Bilanca!J123</f>
        <v>0</v>
      </c>
    </row>
    <row r="116" spans="4:11" ht="12.75">
      <c r="D116" s="4" t="s">
        <v>554</v>
      </c>
      <c r="E116" s="4">
        <v>1</v>
      </c>
      <c r="F116" s="4">
        <f>Bilanca!G124</f>
        <v>115</v>
      </c>
      <c r="G116" s="4">
        <f>IF(Bilanca!H124=0,"",Bilanca!H124)</f>
      </c>
      <c r="H116" s="26">
        <f t="shared" si="4"/>
        <v>0</v>
      </c>
      <c r="I116" s="27">
        <f t="shared" si="5"/>
        <v>0</v>
      </c>
      <c r="J116" s="27">
        <f>Bilanca!I124</f>
        <v>0</v>
      </c>
      <c r="K116" s="27">
        <f>Bilanca!J124</f>
        <v>0</v>
      </c>
    </row>
    <row r="117" spans="4:11" ht="12.75">
      <c r="D117" s="4" t="s">
        <v>554</v>
      </c>
      <c r="E117" s="4">
        <v>1</v>
      </c>
      <c r="F117" s="4">
        <f>Bilanca!G125</f>
        <v>116</v>
      </c>
      <c r="G117" s="4">
        <f>IF(Bilanca!H125=0,"",Bilanca!H125)</f>
      </c>
      <c r="H117" s="26">
        <f t="shared" si="4"/>
        <v>0</v>
      </c>
      <c r="I117" s="27">
        <f t="shared" si="5"/>
        <v>0</v>
      </c>
      <c r="J117" s="27">
        <f>Bilanca!I125</f>
        <v>0</v>
      </c>
      <c r="K117" s="27">
        <f>Bilanca!J125</f>
        <v>0</v>
      </c>
    </row>
    <row r="118" spans="4:11" ht="12.75">
      <c r="D118" s="4" t="s">
        <v>554</v>
      </c>
      <c r="E118" s="4">
        <v>1</v>
      </c>
      <c r="F118" s="4">
        <f>Bilanca!G126</f>
        <v>117</v>
      </c>
      <c r="G118" s="4">
        <f>IF(Bilanca!H126=0,"",Bilanca!H126)</f>
      </c>
      <c r="H118" s="26">
        <f t="shared" si="4"/>
        <v>241.01999999999998</v>
      </c>
      <c r="I118" s="27">
        <f t="shared" si="5"/>
        <v>0</v>
      </c>
      <c r="J118" s="27">
        <f>Bilanca!I126</f>
        <v>66</v>
      </c>
      <c r="K118" s="27">
        <f>Bilanca!J126</f>
        <v>70</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f>IF(Bilanca!H128=0,"",Bilanca!H128)</f>
      </c>
      <c r="H120" s="26">
        <f t="shared" si="4"/>
        <v>0</v>
      </c>
      <c r="I120" s="27">
        <f t="shared" si="5"/>
        <v>0</v>
      </c>
      <c r="J120" s="27">
        <f>Bilanca!I128</f>
        <v>0</v>
      </c>
      <c r="K120" s="27">
        <f>Bilanca!J128</f>
        <v>0</v>
      </c>
    </row>
    <row r="121" spans="4:11" ht="12.75">
      <c r="D121" s="4" t="s">
        <v>554</v>
      </c>
      <c r="E121" s="4">
        <v>1</v>
      </c>
      <c r="F121" s="4">
        <f>Bilanca!G129</f>
        <v>120</v>
      </c>
      <c r="G121" s="4">
        <f>IF(Bilanca!H129=0,"",Bilanca!H129)</f>
      </c>
      <c r="H121" s="26">
        <f t="shared" si="4"/>
        <v>0</v>
      </c>
      <c r="I121" s="27">
        <f t="shared" si="5"/>
        <v>0</v>
      </c>
      <c r="J121" s="27">
        <f>Bilanca!I129</f>
        <v>0</v>
      </c>
      <c r="K121" s="27">
        <f>Bilanca!J129</f>
        <v>0</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f>IF(Bilanca!H132=0,"",Bilanca!H132)</f>
      </c>
      <c r="H124" s="26">
        <f t="shared" si="4"/>
        <v>0</v>
      </c>
      <c r="I124" s="27">
        <f t="shared" si="5"/>
        <v>0</v>
      </c>
      <c r="J124" s="27">
        <f>Bilanca!I132</f>
        <v>0</v>
      </c>
      <c r="K124" s="27">
        <f>Bilanca!J132</f>
        <v>0</v>
      </c>
    </row>
    <row r="125" spans="4:11" ht="12.75">
      <c r="D125" s="4" t="s">
        <v>554</v>
      </c>
      <c r="E125" s="4">
        <v>1</v>
      </c>
      <c r="F125" s="4">
        <f>Bilanca!G133</f>
        <v>124</v>
      </c>
      <c r="G125" s="4">
        <f>IF(Bilanca!H133=0,"",Bilanca!H133)</f>
      </c>
      <c r="H125" s="26">
        <f t="shared" si="4"/>
        <v>0</v>
      </c>
      <c r="I125" s="27">
        <f t="shared" si="5"/>
        <v>0</v>
      </c>
      <c r="J125" s="27">
        <f>Bilanca!I133</f>
        <v>0</v>
      </c>
      <c r="K125" s="27">
        <f>Bilanca!J133</f>
        <v>0</v>
      </c>
    </row>
    <row r="126" spans="4:11" ht="12.75">
      <c r="D126" s="4" t="s">
        <v>554</v>
      </c>
      <c r="E126" s="4">
        <v>1</v>
      </c>
      <c r="F126" s="4">
        <f>Bilanca!G134</f>
        <v>125</v>
      </c>
      <c r="G126" s="4">
        <f>IF(Bilanca!H134=0,"",Bilanca!H134)</f>
      </c>
      <c r="H126" s="26">
        <f t="shared" si="4"/>
        <v>55283.75</v>
      </c>
      <c r="I126" s="27">
        <f t="shared" si="5"/>
        <v>0</v>
      </c>
      <c r="J126" s="27">
        <f>Bilanca!I134</f>
        <v>15451</v>
      </c>
      <c r="K126" s="27">
        <f>Bilanca!J134</f>
        <v>14388</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0</v>
      </c>
      <c r="I128" s="4">
        <f t="shared" si="5"/>
        <v>0</v>
      </c>
      <c r="J128" s="27">
        <f>RDG!I8</f>
        <v>0</v>
      </c>
      <c r="K128" s="27">
        <f>RDG!J8</f>
        <v>0</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f>IF(RDG!H10=0,"",RDG!H10)</f>
      </c>
      <c r="H130" s="26">
        <f aca="true" t="shared" si="6" ref="H130:H192">J130/100*F130+2*K130/100*F130</f>
        <v>0</v>
      </c>
      <c r="I130" s="4">
        <f aca="true" t="shared" si="7" ref="I130:I192">ABS(ROUND(J130,0)-J130)+ABS(ROUND(K130,0)-K130)</f>
        <v>0</v>
      </c>
      <c r="J130" s="27">
        <f>RDG!I10</f>
        <v>0</v>
      </c>
      <c r="K130" s="27">
        <f>RDG!J10</f>
        <v>0</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f>IF(RDG!H13=0,"",RDG!H13)</f>
      </c>
      <c r="H133" s="26">
        <f t="shared" si="6"/>
        <v>0</v>
      </c>
      <c r="I133" s="4">
        <f t="shared" si="7"/>
        <v>0</v>
      </c>
      <c r="J133" s="27">
        <f>RDG!I13</f>
        <v>0</v>
      </c>
      <c r="K133" s="27">
        <f>RDG!J13</f>
        <v>0</v>
      </c>
    </row>
    <row r="134" spans="4:11" ht="12.75">
      <c r="D134" s="4" t="s">
        <v>794</v>
      </c>
      <c r="E134" s="4">
        <v>2</v>
      </c>
      <c r="F134" s="4">
        <f>RDG!G14</f>
        <v>133</v>
      </c>
      <c r="G134" s="4">
        <f>IF(RDG!H14=0,"",RDG!H14)</f>
      </c>
      <c r="H134" s="26">
        <f t="shared" si="6"/>
        <v>4244.03</v>
      </c>
      <c r="I134" s="4">
        <f t="shared" si="7"/>
        <v>0</v>
      </c>
      <c r="J134" s="27">
        <f>RDG!I14</f>
        <v>1057</v>
      </c>
      <c r="K134" s="27">
        <f>RDG!J14</f>
        <v>1067</v>
      </c>
    </row>
    <row r="135" spans="4:11" ht="12.75">
      <c r="D135" s="4" t="s">
        <v>794</v>
      </c>
      <c r="E135" s="4">
        <v>2</v>
      </c>
      <c r="F135" s="4">
        <f>RDG!G15</f>
        <v>134</v>
      </c>
      <c r="G135" s="4">
        <f>IF(RDG!H15=0,"",RDG!H15)</f>
      </c>
      <c r="H135" s="26">
        <f t="shared" si="6"/>
        <v>0</v>
      </c>
      <c r="I135" s="4">
        <f t="shared" si="7"/>
        <v>0</v>
      </c>
      <c r="J135" s="27">
        <f>RDG!I15</f>
        <v>0</v>
      </c>
      <c r="K135" s="27">
        <f>RDG!J15</f>
        <v>0</v>
      </c>
    </row>
    <row r="136" spans="4:11" ht="12.75">
      <c r="D136" s="4" t="s">
        <v>794</v>
      </c>
      <c r="E136" s="4">
        <v>2</v>
      </c>
      <c r="F136" s="4">
        <f>RDG!G16</f>
        <v>135</v>
      </c>
      <c r="G136" s="4">
        <f>IF(RDG!H16=0,"",RDG!H16)</f>
      </c>
      <c r="H136" s="26">
        <f t="shared" si="6"/>
        <v>0</v>
      </c>
      <c r="I136" s="4">
        <f t="shared" si="7"/>
        <v>0</v>
      </c>
      <c r="J136" s="27">
        <f>RDG!I16</f>
        <v>0</v>
      </c>
      <c r="K136" s="27">
        <f>RDG!J16</f>
        <v>0</v>
      </c>
    </row>
    <row r="137" spans="4:11" ht="12.75">
      <c r="D137" s="4" t="s">
        <v>794</v>
      </c>
      <c r="E137" s="4">
        <v>2</v>
      </c>
      <c r="F137" s="4">
        <f>RDG!G17</f>
        <v>136</v>
      </c>
      <c r="G137" s="4">
        <f>IF(RDG!H17=0,"",RDG!H17)</f>
      </c>
      <c r="H137" s="26">
        <f t="shared" si="6"/>
        <v>0</v>
      </c>
      <c r="I137" s="4">
        <f t="shared" si="7"/>
        <v>0</v>
      </c>
      <c r="J137" s="27">
        <f>RDG!I17</f>
        <v>0</v>
      </c>
      <c r="K137" s="27">
        <f>RDG!J17</f>
        <v>0</v>
      </c>
    </row>
    <row r="138" spans="4:11" ht="12.75">
      <c r="D138" s="4" t="s">
        <v>794</v>
      </c>
      <c r="E138" s="4">
        <v>2</v>
      </c>
      <c r="F138" s="4">
        <f>RDG!G18</f>
        <v>137</v>
      </c>
      <c r="G138" s="4">
        <f>IF(RDG!H18=0,"",RDG!H18)</f>
      </c>
      <c r="H138" s="26">
        <f t="shared" si="6"/>
        <v>0</v>
      </c>
      <c r="I138" s="4">
        <f t="shared" si="7"/>
        <v>0</v>
      </c>
      <c r="J138" s="27">
        <f>RDG!I18</f>
        <v>0</v>
      </c>
      <c r="K138" s="27">
        <f>RDG!J18</f>
        <v>0</v>
      </c>
    </row>
    <row r="139" spans="4:11" ht="12.75">
      <c r="D139" s="4" t="s">
        <v>794</v>
      </c>
      <c r="E139" s="4">
        <v>2</v>
      </c>
      <c r="F139" s="4">
        <f>RDG!G19</f>
        <v>138</v>
      </c>
      <c r="G139" s="4">
        <f>IF(RDG!H19=0,"",RDG!H19)</f>
      </c>
      <c r="H139" s="26">
        <f t="shared" si="6"/>
        <v>0</v>
      </c>
      <c r="I139" s="4">
        <f t="shared" si="7"/>
        <v>0</v>
      </c>
      <c r="J139" s="27">
        <f>RDG!I19</f>
        <v>0</v>
      </c>
      <c r="K139" s="27">
        <f>RDG!J19</f>
        <v>0</v>
      </c>
    </row>
    <row r="140" spans="4:11" ht="12.75">
      <c r="D140" s="4" t="s">
        <v>794</v>
      </c>
      <c r="E140" s="4">
        <v>2</v>
      </c>
      <c r="F140" s="4">
        <f>RDG!G20</f>
        <v>139</v>
      </c>
      <c r="G140" s="4">
        <f>IF(RDG!H20=0,"",RDG!H20)</f>
      </c>
      <c r="H140" s="26">
        <f t="shared" si="6"/>
        <v>0</v>
      </c>
      <c r="I140" s="4">
        <f t="shared" si="7"/>
        <v>0</v>
      </c>
      <c r="J140" s="27">
        <f>RDG!I20</f>
        <v>0</v>
      </c>
      <c r="K140" s="27">
        <f>RDG!J20</f>
        <v>0</v>
      </c>
    </row>
    <row r="141" spans="4:11" ht="12.75">
      <c r="D141" s="4" t="s">
        <v>794</v>
      </c>
      <c r="E141" s="4">
        <v>2</v>
      </c>
      <c r="F141" s="4">
        <f>RDG!G21</f>
        <v>140</v>
      </c>
      <c r="G141" s="4">
        <f>IF(RDG!H21=0,"",RDG!H21)</f>
      </c>
      <c r="H141" s="26">
        <f t="shared" si="6"/>
        <v>0</v>
      </c>
      <c r="I141" s="4">
        <f t="shared" si="7"/>
        <v>0</v>
      </c>
      <c r="J141" s="27">
        <f>RDG!I21</f>
        <v>0</v>
      </c>
      <c r="K141" s="27">
        <f>RDG!J21</f>
        <v>0</v>
      </c>
    </row>
    <row r="142" spans="4:11" ht="12.75">
      <c r="D142" s="4" t="s">
        <v>794</v>
      </c>
      <c r="E142" s="4">
        <v>2</v>
      </c>
      <c r="F142" s="4">
        <f>RDG!G22</f>
        <v>141</v>
      </c>
      <c r="G142" s="4">
        <f>IF(RDG!H22=0,"",RDG!H22)</f>
      </c>
      <c r="H142" s="26">
        <f t="shared" si="6"/>
        <v>0</v>
      </c>
      <c r="I142" s="4">
        <f t="shared" si="7"/>
        <v>0</v>
      </c>
      <c r="J142" s="27">
        <f>RDG!I22</f>
        <v>0</v>
      </c>
      <c r="K142" s="27">
        <f>RDG!J22</f>
        <v>0</v>
      </c>
    </row>
    <row r="143" spans="4:11" ht="12.75">
      <c r="D143" s="4" t="s">
        <v>794</v>
      </c>
      <c r="E143" s="4">
        <v>2</v>
      </c>
      <c r="F143" s="4">
        <f>RDG!G23</f>
        <v>142</v>
      </c>
      <c r="G143" s="4">
        <f>IF(RDG!H23=0,"",RDG!H23)</f>
      </c>
      <c r="H143" s="26">
        <f t="shared" si="6"/>
        <v>0</v>
      </c>
      <c r="I143" s="4">
        <f t="shared" si="7"/>
        <v>0</v>
      </c>
      <c r="J143" s="27">
        <f>RDG!I23</f>
        <v>0</v>
      </c>
      <c r="K143" s="27">
        <f>RDG!J23</f>
        <v>0</v>
      </c>
    </row>
    <row r="144" spans="4:11" ht="12.75">
      <c r="D144" s="4" t="s">
        <v>794</v>
      </c>
      <c r="E144" s="4">
        <v>2</v>
      </c>
      <c r="F144" s="4">
        <f>RDG!G24</f>
        <v>143</v>
      </c>
      <c r="G144" s="4">
        <f>IF(RDG!H24=0,"",RDG!H24)</f>
      </c>
      <c r="H144" s="26">
        <f t="shared" si="6"/>
        <v>0</v>
      </c>
      <c r="I144" s="4">
        <f t="shared" si="7"/>
        <v>0</v>
      </c>
      <c r="J144" s="27">
        <f>RDG!I24</f>
        <v>0</v>
      </c>
      <c r="K144" s="27">
        <f>RDG!J24</f>
        <v>0</v>
      </c>
    </row>
    <row r="145" spans="4:11" ht="12.75">
      <c r="D145" s="4" t="s">
        <v>794</v>
      </c>
      <c r="E145" s="4">
        <v>2</v>
      </c>
      <c r="F145" s="4">
        <f>RDG!G25</f>
        <v>144</v>
      </c>
      <c r="G145" s="4">
        <f>IF(RDG!H25=0,"",RDG!H25)</f>
      </c>
      <c r="H145" s="26">
        <f t="shared" si="6"/>
        <v>0</v>
      </c>
      <c r="I145" s="4">
        <f t="shared" si="7"/>
        <v>0</v>
      </c>
      <c r="J145" s="27">
        <f>RDG!I25</f>
        <v>0</v>
      </c>
      <c r="K145" s="27">
        <f>RDG!J25</f>
        <v>0</v>
      </c>
    </row>
    <row r="146" spans="4:11" ht="12.75">
      <c r="D146" s="4" t="s">
        <v>794</v>
      </c>
      <c r="E146" s="4">
        <v>2</v>
      </c>
      <c r="F146" s="4">
        <f>RDG!G26</f>
        <v>145</v>
      </c>
      <c r="G146" s="4">
        <f>IF(RDG!H26=0,"",RDG!H26)</f>
      </c>
      <c r="H146" s="26">
        <f t="shared" si="6"/>
        <v>0</v>
      </c>
      <c r="I146" s="4">
        <f t="shared" si="7"/>
        <v>0</v>
      </c>
      <c r="J146" s="27">
        <f>RDG!I26</f>
        <v>0</v>
      </c>
      <c r="K146" s="27">
        <f>RDG!J26</f>
        <v>0</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f>IF(RDG!H28=0,"",RDG!H28)</f>
      </c>
      <c r="H148" s="26">
        <f t="shared" si="6"/>
        <v>0</v>
      </c>
      <c r="I148" s="4">
        <f t="shared" si="7"/>
        <v>0</v>
      </c>
      <c r="J148" s="27">
        <f>RDG!I28</f>
        <v>0</v>
      </c>
      <c r="K148" s="27">
        <f>RDG!J28</f>
        <v>0</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f>IF(RDG!H36=0,"",RDG!H36)</f>
      </c>
      <c r="H156" s="26">
        <f t="shared" si="6"/>
        <v>4946.05</v>
      </c>
      <c r="I156" s="4">
        <f t="shared" si="7"/>
        <v>0</v>
      </c>
      <c r="J156" s="27">
        <f>RDG!I36</f>
        <v>1057</v>
      </c>
      <c r="K156" s="27">
        <f>RDG!J36</f>
        <v>1067</v>
      </c>
    </row>
    <row r="157" spans="4:11" ht="12.75">
      <c r="D157" s="4" t="s">
        <v>794</v>
      </c>
      <c r="E157" s="4">
        <v>2</v>
      </c>
      <c r="F157" s="4">
        <f>RDG!G37</f>
        <v>156</v>
      </c>
      <c r="G157" s="4">
        <f>IF(RDG!H37=0,"",RDG!H37)</f>
      </c>
      <c r="H157" s="26">
        <f t="shared" si="6"/>
        <v>0</v>
      </c>
      <c r="I157" s="4">
        <f t="shared" si="7"/>
        <v>0</v>
      </c>
      <c r="J157" s="27">
        <f>RDG!I37</f>
        <v>0</v>
      </c>
      <c r="K157" s="27">
        <f>RDG!J37</f>
        <v>0</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f>IF(RDG!H44=0,"",RDG!H44)</f>
      </c>
      <c r="H164" s="26">
        <f t="shared" si="6"/>
        <v>0</v>
      </c>
      <c r="I164" s="4">
        <f t="shared" si="7"/>
        <v>0</v>
      </c>
      <c r="J164" s="27">
        <f>RDG!I44</f>
        <v>0</v>
      </c>
      <c r="K164" s="27">
        <f>RDG!J44</f>
        <v>0</v>
      </c>
    </row>
    <row r="165" spans="4:11" ht="12.75">
      <c r="D165" s="4" t="s">
        <v>794</v>
      </c>
      <c r="E165" s="4">
        <v>2</v>
      </c>
      <c r="F165" s="4">
        <f>RDG!G45</f>
        <v>164</v>
      </c>
      <c r="G165" s="4">
        <f>IF(RDG!H45=0,"",RDG!H45)</f>
      </c>
      <c r="H165" s="26">
        <f t="shared" si="6"/>
        <v>0</v>
      </c>
      <c r="I165" s="4">
        <f t="shared" si="7"/>
        <v>0</v>
      </c>
      <c r="J165" s="27">
        <f>RDG!I45</f>
        <v>0</v>
      </c>
      <c r="K165" s="27">
        <f>RDG!J45</f>
        <v>0</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f>IF(RDG!H48=0,"",RDG!H48)</f>
      </c>
      <c r="H168" s="26">
        <f t="shared" si="6"/>
        <v>0</v>
      </c>
      <c r="I168" s="4">
        <f t="shared" si="7"/>
        <v>0</v>
      </c>
      <c r="J168" s="27">
        <f>RDG!I48</f>
        <v>0</v>
      </c>
      <c r="K168" s="27">
        <f>RDG!J48</f>
        <v>0</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f>IF(RDG!H51=0,"",RDG!H51)</f>
      </c>
      <c r="H171" s="26">
        <f t="shared" si="6"/>
        <v>0</v>
      </c>
      <c r="I171" s="4">
        <f t="shared" si="7"/>
        <v>0</v>
      </c>
      <c r="J171" s="27">
        <f>RDG!I51</f>
        <v>0</v>
      </c>
      <c r="K171" s="27">
        <f>RDG!J51</f>
        <v>0</v>
      </c>
    </row>
    <row r="172" spans="4:11" ht="12.75">
      <c r="D172" s="4" t="s">
        <v>794</v>
      </c>
      <c r="E172" s="4">
        <v>2</v>
      </c>
      <c r="F172" s="4">
        <f>RDG!G52</f>
        <v>171</v>
      </c>
      <c r="G172" s="4">
        <f>IF(RDG!H52=0,"",RDG!H52)</f>
      </c>
      <c r="H172" s="26">
        <f t="shared" si="6"/>
        <v>0</v>
      </c>
      <c r="I172" s="4">
        <f t="shared" si="7"/>
        <v>0</v>
      </c>
      <c r="J172" s="27">
        <f>RDG!I52</f>
        <v>0</v>
      </c>
      <c r="K172" s="27">
        <f>RDG!J52</f>
        <v>0</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0</v>
      </c>
      <c r="I180" s="4">
        <f t="shared" si="7"/>
        <v>0</v>
      </c>
      <c r="J180" s="27">
        <f>RDG!I60</f>
        <v>0</v>
      </c>
      <c r="K180" s="27">
        <f>RDG!J60</f>
        <v>0</v>
      </c>
    </row>
    <row r="181" spans="4:11" ht="12.75">
      <c r="D181" s="4" t="s">
        <v>794</v>
      </c>
      <c r="E181" s="4">
        <v>2</v>
      </c>
      <c r="F181" s="4">
        <f>RDG!G61</f>
        <v>180</v>
      </c>
      <c r="G181" s="4">
        <f>IF(RDG!H61=0,"",RDG!H61)</f>
      </c>
      <c r="H181" s="26">
        <f t="shared" si="6"/>
        <v>5743.8</v>
      </c>
      <c r="I181" s="4">
        <f t="shared" si="7"/>
        <v>0</v>
      </c>
      <c r="J181" s="27">
        <f>RDG!I61</f>
        <v>1057</v>
      </c>
      <c r="K181" s="27">
        <f>RDG!J61</f>
        <v>1067</v>
      </c>
    </row>
    <row r="182" spans="4:11" ht="12.75">
      <c r="D182" s="4" t="s">
        <v>794</v>
      </c>
      <c r="E182" s="4">
        <v>2</v>
      </c>
      <c r="F182" s="4">
        <f>RDG!G62</f>
        <v>181</v>
      </c>
      <c r="G182" s="4">
        <f>IF(RDG!H62=0,"",RDG!H62)</f>
      </c>
      <c r="H182" s="26">
        <f t="shared" si="6"/>
        <v>-5775.71</v>
      </c>
      <c r="I182" s="4">
        <f t="shared" si="7"/>
        <v>0</v>
      </c>
      <c r="J182" s="27">
        <f>RDG!I62</f>
        <v>-1057</v>
      </c>
      <c r="K182" s="27">
        <f>RDG!J62</f>
        <v>-1067</v>
      </c>
    </row>
    <row r="183" spans="4:11" ht="12.75">
      <c r="D183" s="4" t="s">
        <v>794</v>
      </c>
      <c r="E183" s="4">
        <v>2</v>
      </c>
      <c r="F183" s="4">
        <f>RDG!G63</f>
        <v>182</v>
      </c>
      <c r="G183" s="4">
        <f>IF(RDG!H63=0,"",RDG!H63)</f>
      </c>
      <c r="H183" s="26">
        <f t="shared" si="6"/>
        <v>0</v>
      </c>
      <c r="I183" s="4">
        <f t="shared" si="7"/>
        <v>0</v>
      </c>
      <c r="J183" s="27">
        <f>RDG!I63</f>
        <v>0</v>
      </c>
      <c r="K183" s="27">
        <f>RDG!J63</f>
        <v>0</v>
      </c>
    </row>
    <row r="184" spans="4:11" ht="12.75">
      <c r="D184" s="4" t="s">
        <v>794</v>
      </c>
      <c r="E184" s="4">
        <v>2</v>
      </c>
      <c r="F184" s="4">
        <f>RDG!G64</f>
        <v>183</v>
      </c>
      <c r="G184" s="4">
        <f>IF(RDG!H64=0,"",RDG!H64)</f>
      </c>
      <c r="H184" s="26">
        <f t="shared" si="6"/>
        <v>5839.53</v>
      </c>
      <c r="I184" s="4">
        <f t="shared" si="7"/>
        <v>0</v>
      </c>
      <c r="J184" s="27">
        <f>RDG!I64</f>
        <v>1057</v>
      </c>
      <c r="K184" s="27">
        <f>RDG!J64</f>
        <v>1067</v>
      </c>
    </row>
    <row r="185" spans="4:11" ht="12.75">
      <c r="D185" s="4" t="s">
        <v>794</v>
      </c>
      <c r="E185" s="4">
        <v>2</v>
      </c>
      <c r="F185" s="4">
        <f>RDG!G65</f>
        <v>184</v>
      </c>
      <c r="G185" s="4">
        <f>IF(RDG!H65=0,"",RDG!H65)</f>
      </c>
      <c r="H185" s="26">
        <f t="shared" si="6"/>
        <v>0</v>
      </c>
      <c r="I185" s="4">
        <f t="shared" si="7"/>
        <v>0</v>
      </c>
      <c r="J185" s="27">
        <f>RDG!I65</f>
        <v>0</v>
      </c>
      <c r="K185" s="27">
        <f>RDG!J65</f>
        <v>0</v>
      </c>
    </row>
    <row r="186" spans="4:11" ht="12.75">
      <c r="D186" s="4" t="s">
        <v>794</v>
      </c>
      <c r="E186" s="4">
        <v>2</v>
      </c>
      <c r="F186" s="4">
        <f>RDG!G66</f>
        <v>185</v>
      </c>
      <c r="G186" s="4">
        <f>IF(RDG!H66=0,"",RDG!H66)</f>
      </c>
      <c r="H186" s="26">
        <f t="shared" si="6"/>
        <v>-5903.35</v>
      </c>
      <c r="I186" s="4">
        <f t="shared" si="7"/>
        <v>0</v>
      </c>
      <c r="J186" s="27">
        <f>RDG!I66</f>
        <v>-1057</v>
      </c>
      <c r="K186" s="27">
        <f>RDG!J66</f>
        <v>-1067</v>
      </c>
    </row>
    <row r="187" spans="4:11" ht="12.75">
      <c r="D187" s="4" t="s">
        <v>794</v>
      </c>
      <c r="E187" s="4">
        <v>2</v>
      </c>
      <c r="F187" s="4">
        <f>RDG!G67</f>
        <v>186</v>
      </c>
      <c r="G187" s="4">
        <f>IF(RDG!H67=0,"",RDG!H67)</f>
      </c>
      <c r="H187" s="26">
        <f t="shared" si="6"/>
        <v>0</v>
      </c>
      <c r="I187" s="4">
        <f t="shared" si="7"/>
        <v>0</v>
      </c>
      <c r="J187" s="27">
        <f>RDG!I67</f>
        <v>0</v>
      </c>
      <c r="K187" s="27">
        <f>RDG!J67</f>
        <v>0</v>
      </c>
    </row>
    <row r="188" spans="4:11" ht="12.75">
      <c r="D188" s="4" t="s">
        <v>794</v>
      </c>
      <c r="E188" s="4">
        <v>2</v>
      </c>
      <c r="F188" s="4">
        <f>RDG!G68</f>
        <v>187</v>
      </c>
      <c r="G188" s="4">
        <f>IF(RDG!H68=0,"",RDG!H68)</f>
      </c>
      <c r="H188" s="26">
        <f t="shared" si="6"/>
        <v>5967.17</v>
      </c>
      <c r="I188" s="4">
        <f t="shared" si="7"/>
        <v>0</v>
      </c>
      <c r="J188" s="27">
        <f>RDG!I68</f>
        <v>1057</v>
      </c>
      <c r="K188" s="27">
        <f>RDG!J68</f>
        <v>1067</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2192</v>
      </c>
      <c r="I275" s="4">
        <f t="shared" si="13"/>
        <v>0</v>
      </c>
      <c r="J275" s="27">
        <f>Dodatni!I62</f>
        <v>294</v>
      </c>
      <c r="K275" s="27">
        <f>Dodatni!J62</f>
        <v>253</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0</v>
      </c>
      <c r="I299" s="4">
        <f t="shared" si="17"/>
        <v>0</v>
      </c>
      <c r="J299" s="27">
        <f>NT_I!I9</f>
        <v>0</v>
      </c>
      <c r="K299" s="27">
        <f>NT_I!J9</f>
        <v>0</v>
      </c>
    </row>
    <row r="300" spans="4:11" ht="12.75">
      <c r="D300" s="4" t="s">
        <v>556</v>
      </c>
      <c r="E300" s="4">
        <v>4</v>
      </c>
      <c r="F300" s="4">
        <f>NT_I!G10</f>
        <v>2</v>
      </c>
      <c r="G300" s="4">
        <f>IF(NT_I!H10&lt;&gt;"",NT_I!H10,"")</f>
      </c>
      <c r="H300" s="26">
        <f t="shared" si="16"/>
        <v>0</v>
      </c>
      <c r="I300" s="4">
        <f t="shared" si="17"/>
        <v>0</v>
      </c>
      <c r="J300" s="27">
        <f>NT_I!I10</f>
        <v>0</v>
      </c>
      <c r="K300" s="27">
        <f>NT_I!J10</f>
        <v>0</v>
      </c>
    </row>
    <row r="301" spans="4:11" ht="12.75">
      <c r="D301" s="4" t="s">
        <v>556</v>
      </c>
      <c r="E301" s="4">
        <v>4</v>
      </c>
      <c r="F301" s="4">
        <f>NT_I!G11</f>
        <v>3</v>
      </c>
      <c r="G301" s="4">
        <f>IF(NT_I!H11&lt;&gt;"",NT_I!H11,"")</f>
      </c>
      <c r="H301" s="26">
        <f t="shared" si="16"/>
        <v>0</v>
      </c>
      <c r="I301" s="4">
        <f t="shared" si="17"/>
        <v>0</v>
      </c>
      <c r="J301" s="27">
        <f>NT_I!I11</f>
        <v>0</v>
      </c>
      <c r="K301" s="27">
        <f>NT_I!J11</f>
        <v>0</v>
      </c>
    </row>
    <row r="302" spans="4:11" ht="12.75">
      <c r="D302" s="4" t="s">
        <v>556</v>
      </c>
      <c r="E302" s="4">
        <v>4</v>
      </c>
      <c r="F302" s="4">
        <f>NT_I!G12</f>
        <v>4</v>
      </c>
      <c r="G302" s="4">
        <f>IF(NT_I!H12&lt;&gt;"",NT_I!H12,"")</f>
      </c>
      <c r="H302" s="26">
        <f aca="true" t="shared" si="18" ref="H302:H340">J302/100*F302+2*K302/100*F302</f>
        <v>0</v>
      </c>
      <c r="I302" s="4">
        <f aca="true" t="shared" si="19" ref="I302:I340">ABS(ROUND(J302,0)-J302)+ABS(ROUND(K302,0)-K302)</f>
        <v>0</v>
      </c>
      <c r="J302" s="27">
        <f>NT_I!I12</f>
        <v>0</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0</v>
      </c>
      <c r="I308" s="4">
        <f t="shared" si="19"/>
        <v>0</v>
      </c>
      <c r="J308" s="27">
        <f>NT_I!I18</f>
        <v>0</v>
      </c>
      <c r="K308" s="27">
        <f>NT_I!J18</f>
        <v>0</v>
      </c>
    </row>
    <row r="309" spans="4:11" ht="12.75">
      <c r="D309" s="4" t="s">
        <v>556</v>
      </c>
      <c r="E309" s="4">
        <v>4</v>
      </c>
      <c r="F309" s="4">
        <f>NT_I!G19</f>
        <v>11</v>
      </c>
      <c r="G309" s="4">
        <f>IF(NT_I!H19&lt;&gt;"",NT_I!H19,"")</f>
      </c>
      <c r="H309" s="26">
        <f t="shared" si="18"/>
        <v>0</v>
      </c>
      <c r="I309" s="4">
        <f t="shared" si="19"/>
        <v>0</v>
      </c>
      <c r="J309" s="27">
        <f>NT_I!I19</f>
        <v>0</v>
      </c>
      <c r="K309" s="27">
        <f>NT_I!J19</f>
        <v>0</v>
      </c>
    </row>
    <row r="310" spans="4:11" ht="12.75">
      <c r="D310" s="4" t="s">
        <v>556</v>
      </c>
      <c r="E310" s="4">
        <v>4</v>
      </c>
      <c r="F310" s="4">
        <f>NT_I!G20</f>
        <v>12</v>
      </c>
      <c r="G310" s="4">
        <f>IF(NT_I!H20&lt;&gt;"",NT_I!H20,"")</f>
      </c>
      <c r="H310" s="26">
        <f t="shared" si="18"/>
        <v>0</v>
      </c>
      <c r="I310" s="4">
        <f t="shared" si="19"/>
        <v>0</v>
      </c>
      <c r="J310" s="27">
        <f>NT_I!I20</f>
        <v>0</v>
      </c>
      <c r="K310" s="27">
        <f>NT_I!J20</f>
        <v>0</v>
      </c>
    </row>
    <row r="311" spans="4:11" ht="12.75">
      <c r="D311" s="4" t="s">
        <v>556</v>
      </c>
      <c r="E311" s="4">
        <v>4</v>
      </c>
      <c r="F311" s="4">
        <f>NT_I!G21</f>
        <v>13</v>
      </c>
      <c r="G311" s="4">
        <f>IF(NT_I!H21&lt;&gt;"",NT_I!H21,"")</f>
      </c>
      <c r="H311" s="26">
        <f t="shared" si="18"/>
        <v>0</v>
      </c>
      <c r="I311" s="4">
        <f t="shared" si="19"/>
        <v>0</v>
      </c>
      <c r="J311" s="27">
        <f>NT_I!I21</f>
        <v>0</v>
      </c>
      <c r="K311" s="27">
        <f>NT_I!J21</f>
        <v>0</v>
      </c>
    </row>
    <row r="312" spans="4:11" ht="12.75">
      <c r="D312" s="4" t="s">
        <v>556</v>
      </c>
      <c r="E312" s="4">
        <v>4</v>
      </c>
      <c r="F312" s="4">
        <f>NT_I!G22</f>
        <v>14</v>
      </c>
      <c r="G312" s="4">
        <f>IF(NT_I!H22&lt;&gt;"",NT_I!H22,"")</f>
      </c>
      <c r="H312" s="26">
        <f t="shared" si="18"/>
        <v>0</v>
      </c>
      <c r="I312" s="4">
        <f t="shared" si="19"/>
        <v>0</v>
      </c>
      <c r="J312" s="27">
        <f>NT_I!I22</f>
        <v>0</v>
      </c>
      <c r="K312" s="27">
        <f>NT_I!J22</f>
        <v>0</v>
      </c>
    </row>
    <row r="313" spans="4:11" ht="12.75">
      <c r="D313" s="4" t="s">
        <v>556</v>
      </c>
      <c r="E313" s="4">
        <v>4</v>
      </c>
      <c r="F313" s="4">
        <f>NT_I!G23</f>
        <v>15</v>
      </c>
      <c r="G313" s="4">
        <f>IF(NT_I!H23&lt;&gt;"",NT_I!H23,"")</f>
      </c>
      <c r="H313" s="26">
        <f t="shared" si="18"/>
        <v>0</v>
      </c>
      <c r="I313" s="4">
        <f t="shared" si="19"/>
        <v>0</v>
      </c>
      <c r="J313" s="27">
        <f>NT_I!I23</f>
        <v>0</v>
      </c>
      <c r="K313" s="27">
        <f>NT_I!J23</f>
        <v>0</v>
      </c>
    </row>
    <row r="314" spans="4:11" ht="12.75">
      <c r="D314" s="4" t="s">
        <v>556</v>
      </c>
      <c r="E314" s="4">
        <v>4</v>
      </c>
      <c r="F314" s="4">
        <f>NT_I!G24</f>
        <v>16</v>
      </c>
      <c r="G314" s="4">
        <f>IF(NT_I!H24&lt;&gt;"",NT_I!H24,"")</f>
      </c>
      <c r="H314" s="26">
        <f t="shared" si="18"/>
        <v>0</v>
      </c>
      <c r="I314" s="4">
        <f t="shared" si="19"/>
        <v>0</v>
      </c>
      <c r="J314" s="27">
        <f>NT_I!I24</f>
        <v>0</v>
      </c>
      <c r="K314" s="27">
        <f>NT_I!J24</f>
        <v>0</v>
      </c>
    </row>
    <row r="315" spans="4:11" ht="12.75">
      <c r="D315" s="4" t="s">
        <v>556</v>
      </c>
      <c r="E315" s="4">
        <v>4</v>
      </c>
      <c r="F315" s="4">
        <f>NT_I!G25</f>
        <v>17</v>
      </c>
      <c r="G315" s="4">
        <f>IF(NT_I!H25&lt;&gt;"",NT_I!H25,"")</f>
      </c>
      <c r="H315" s="26">
        <f t="shared" si="18"/>
        <v>0</v>
      </c>
      <c r="I315" s="4">
        <f t="shared" si="19"/>
        <v>0</v>
      </c>
      <c r="J315" s="27">
        <f>NT_I!I25</f>
        <v>0</v>
      </c>
      <c r="K315" s="27">
        <f>NT_I!J25</f>
        <v>0</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0</v>
      </c>
      <c r="I317" s="4">
        <f t="shared" si="19"/>
        <v>0</v>
      </c>
      <c r="J317" s="27">
        <f>NT_I!I27</f>
        <v>0</v>
      </c>
      <c r="K317" s="27">
        <f>NT_I!J27</f>
        <v>0</v>
      </c>
    </row>
    <row r="318" spans="4:11" ht="12.75">
      <c r="D318" s="4" t="s">
        <v>556</v>
      </c>
      <c r="E318" s="4">
        <v>4</v>
      </c>
      <c r="F318" s="4">
        <f>NT_I!G28</f>
        <v>20</v>
      </c>
      <c r="G318" s="4">
        <f>IF(NT_I!H28&lt;&gt;"",NT_I!H28,"")</f>
      </c>
      <c r="H318" s="26">
        <f t="shared" si="18"/>
        <v>0</v>
      </c>
      <c r="I318" s="4">
        <f t="shared" si="19"/>
        <v>0</v>
      </c>
      <c r="J318" s="27">
        <f>NT_I!I28</f>
        <v>0</v>
      </c>
      <c r="K318" s="27">
        <f>NT_I!J28</f>
        <v>0</v>
      </c>
    </row>
    <row r="319" spans="4:11" ht="12.75">
      <c r="D319" s="4" t="s">
        <v>556</v>
      </c>
      <c r="E319" s="4">
        <v>4</v>
      </c>
      <c r="F319" s="4">
        <f>NT_I!G30</f>
        <v>21</v>
      </c>
      <c r="G319" s="4">
        <f>IF(NT_I!H30&lt;&gt;"",NT_I!H30,"")</f>
      </c>
      <c r="H319" s="26">
        <f t="shared" si="18"/>
        <v>0</v>
      </c>
      <c r="I319" s="4">
        <f t="shared" si="19"/>
        <v>0</v>
      </c>
      <c r="J319" s="27">
        <f>NT_I!I30</f>
        <v>0</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0</v>
      </c>
      <c r="I325" s="4">
        <f t="shared" si="19"/>
        <v>0</v>
      </c>
      <c r="J325" s="27">
        <f>NT_I!I36</f>
        <v>0</v>
      </c>
      <c r="K325" s="27">
        <f>NT_I!J36</f>
        <v>0</v>
      </c>
    </row>
    <row r="326" spans="4:11" ht="12.75">
      <c r="D326" s="4" t="s">
        <v>556</v>
      </c>
      <c r="E326" s="4">
        <v>4</v>
      </c>
      <c r="F326" s="4">
        <f>NT_I!G37</f>
        <v>28</v>
      </c>
      <c r="G326" s="4">
        <f>IF(NT_I!H37&lt;&gt;"",NT_I!H37,"")</f>
      </c>
      <c r="H326" s="26">
        <f t="shared" si="18"/>
        <v>0</v>
      </c>
      <c r="I326" s="4">
        <f t="shared" si="19"/>
        <v>0</v>
      </c>
      <c r="J326" s="27">
        <f>NT_I!I37</f>
        <v>0</v>
      </c>
      <c r="K326" s="27">
        <f>NT_I!J37</f>
        <v>0</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0</v>
      </c>
      <c r="I331" s="4">
        <f t="shared" si="19"/>
        <v>0</v>
      </c>
      <c r="J331" s="27">
        <f>NT_I!I42</f>
        <v>0</v>
      </c>
      <c r="K331" s="27">
        <f>NT_I!J42</f>
        <v>0</v>
      </c>
    </row>
    <row r="332" spans="4:11" ht="12.75">
      <c r="D332" s="4" t="s">
        <v>556</v>
      </c>
      <c r="E332" s="4">
        <v>4</v>
      </c>
      <c r="F332" s="4">
        <f>NT_I!G43</f>
        <v>34</v>
      </c>
      <c r="G332" s="4">
        <f>IF(NT_I!H43&lt;&gt;"",NT_I!H43,"")</f>
      </c>
      <c r="H332" s="26">
        <f t="shared" si="18"/>
        <v>0</v>
      </c>
      <c r="I332" s="4">
        <f t="shared" si="19"/>
        <v>0</v>
      </c>
      <c r="J332" s="27">
        <f>NT_I!I43</f>
        <v>0</v>
      </c>
      <c r="K332" s="27">
        <f>NT_I!J43</f>
        <v>0</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0</v>
      </c>
      <c r="I335" s="4">
        <f t="shared" si="19"/>
        <v>0</v>
      </c>
      <c r="J335" s="27">
        <f>NT_I!I47</f>
        <v>0</v>
      </c>
      <c r="K335" s="27">
        <f>NT_I!J47</f>
        <v>0</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0</v>
      </c>
      <c r="I337" s="4">
        <f t="shared" si="19"/>
        <v>0</v>
      </c>
      <c r="J337" s="27">
        <f>NT_I!I49</f>
        <v>0</v>
      </c>
      <c r="K337" s="27">
        <f>NT_I!J49</f>
        <v>0</v>
      </c>
    </row>
    <row r="338" spans="4:11" ht="12.75">
      <c r="D338" s="4" t="s">
        <v>556</v>
      </c>
      <c r="E338" s="4">
        <v>4</v>
      </c>
      <c r="F338" s="4">
        <f>NT_I!G50</f>
        <v>40</v>
      </c>
      <c r="G338" s="4">
        <f>IF(NT_I!H50&lt;&gt;"",NT_I!H50,"")</f>
      </c>
      <c r="H338" s="26">
        <f t="shared" si="18"/>
        <v>0</v>
      </c>
      <c r="I338" s="4">
        <f t="shared" si="19"/>
        <v>0</v>
      </c>
      <c r="J338" s="27">
        <f>NT_I!I50</f>
        <v>0</v>
      </c>
      <c r="K338" s="27">
        <f>NT_I!J50</f>
        <v>0</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0</v>
      </c>
      <c r="I343" s="4">
        <f t="shared" si="21"/>
        <v>0</v>
      </c>
      <c r="J343" s="27">
        <f>NT_I!I55</f>
        <v>0</v>
      </c>
      <c r="K343" s="27">
        <f>NT_I!J55</f>
        <v>0</v>
      </c>
    </row>
    <row r="344" spans="4:11" ht="12.75">
      <c r="D344" s="4" t="s">
        <v>556</v>
      </c>
      <c r="E344" s="4">
        <v>4</v>
      </c>
      <c r="F344" s="4">
        <f>NT_I!G56</f>
        <v>46</v>
      </c>
      <c r="G344" s="4">
        <f>IF(NT_I!H56&lt;&gt;"",NT_I!H56,"")</f>
      </c>
      <c r="H344" s="26">
        <f t="shared" si="20"/>
        <v>0</v>
      </c>
      <c r="I344" s="4">
        <f t="shared" si="21"/>
        <v>0</v>
      </c>
      <c r="J344" s="27">
        <f>NT_I!I56</f>
        <v>0</v>
      </c>
      <c r="K344" s="27">
        <f>NT_I!J56</f>
        <v>0</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0</v>
      </c>
      <c r="I346" s="4">
        <f t="shared" si="21"/>
        <v>0</v>
      </c>
      <c r="J346" s="27">
        <f>NT_I!I58</f>
        <v>0</v>
      </c>
      <c r="K346" s="27">
        <f>NT_I!J58</f>
        <v>0</v>
      </c>
    </row>
    <row r="347" spans="4:11" ht="12.75">
      <c r="D347" s="4" t="s">
        <v>556</v>
      </c>
      <c r="E347" s="4">
        <v>4</v>
      </c>
      <c r="F347" s="4">
        <f>NT_I!G59</f>
        <v>49</v>
      </c>
      <c r="G347" s="4">
        <f>IF(NT_I!H59&lt;&gt;"",NT_I!H59,"")</f>
      </c>
      <c r="H347" s="26">
        <f t="shared" si="20"/>
        <v>0</v>
      </c>
      <c r="I347" s="4">
        <f t="shared" si="21"/>
        <v>0</v>
      </c>
      <c r="J347" s="27">
        <f>NT_I!I59</f>
        <v>0</v>
      </c>
      <c r="K347" s="27">
        <f>NT_I!J59</f>
        <v>0</v>
      </c>
    </row>
    <row r="348" spans="4:11" ht="12.75">
      <c r="D348" s="4" t="s">
        <v>556</v>
      </c>
      <c r="E348" s="4">
        <v>4</v>
      </c>
      <c r="F348" s="4">
        <f>NT_I!G60</f>
        <v>50</v>
      </c>
      <c r="G348" s="4">
        <f>IF(NT_I!H60&lt;&gt;"",NT_I!H60,"")</f>
      </c>
      <c r="H348" s="26">
        <f t="shared" si="20"/>
        <v>0</v>
      </c>
      <c r="I348" s="4">
        <f t="shared" si="21"/>
        <v>0</v>
      </c>
      <c r="J348" s="27">
        <f>NT_I!I60</f>
        <v>0</v>
      </c>
      <c r="K348" s="27">
        <f>NT_I!J60</f>
        <v>0</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0</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0</v>
      </c>
      <c r="K393" s="27">
        <f>PK!J10</f>
        <v>0</v>
      </c>
      <c r="L393" s="27">
        <f>PK!K10</f>
        <v>0</v>
      </c>
      <c r="M393" s="27">
        <f>PK!L10</f>
        <v>0</v>
      </c>
      <c r="N393" s="27">
        <f>PK!M10</f>
        <v>0</v>
      </c>
      <c r="O393" s="27">
        <f>PK!N10</f>
        <v>0</v>
      </c>
      <c r="P393" s="27">
        <f>PK!O10</f>
        <v>0</v>
      </c>
      <c r="Q393" s="27">
        <f>PK!P10</f>
        <v>0</v>
      </c>
      <c r="R393" s="27">
        <f>PK!Q10</f>
        <v>0</v>
      </c>
      <c r="S393" s="27">
        <f>PK!R10</f>
        <v>0</v>
      </c>
      <c r="T393" s="27">
        <f>PK!S10</f>
        <v>0</v>
      </c>
      <c r="U393" s="27">
        <f>PK!T10</f>
        <v>0</v>
      </c>
      <c r="V393" s="27">
        <f>PK!U10</f>
        <v>0</v>
      </c>
      <c r="W393" s="27">
        <f>PK!V10</f>
        <v>0</v>
      </c>
      <c r="X393" s="27">
        <f>PK!W10</f>
        <v>0</v>
      </c>
      <c r="Y393" s="27">
        <f>PK!X10</f>
        <v>0</v>
      </c>
      <c r="Z393" s="27">
        <f>PK!Y10</f>
        <v>0</v>
      </c>
      <c r="AA393" s="27">
        <f>PK!Z10</f>
        <v>0</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0</v>
      </c>
      <c r="I396" s="27">
        <f t="shared" si="25"/>
        <v>0</v>
      </c>
      <c r="J396" s="27">
        <f>PK!I13</f>
        <v>0</v>
      </c>
      <c r="K396" s="27">
        <f>PK!J13</f>
        <v>0</v>
      </c>
      <c r="L396" s="27">
        <f>PK!K13</f>
        <v>0</v>
      </c>
      <c r="M396" s="27">
        <f>PK!L13</f>
        <v>0</v>
      </c>
      <c r="N396" s="27">
        <f>PK!M13</f>
        <v>0</v>
      </c>
      <c r="O396" s="27">
        <f>PK!N13</f>
        <v>0</v>
      </c>
      <c r="P396" s="27">
        <f>PK!O13</f>
        <v>0</v>
      </c>
      <c r="Q396" s="27">
        <f>PK!P13</f>
        <v>0</v>
      </c>
      <c r="R396" s="27">
        <f>PK!Q13</f>
        <v>0</v>
      </c>
      <c r="S396" s="27">
        <f>PK!R13</f>
        <v>0</v>
      </c>
      <c r="T396" s="27">
        <f>PK!S13</f>
        <v>0</v>
      </c>
      <c r="U396" s="27">
        <f>PK!T13</f>
        <v>0</v>
      </c>
      <c r="V396" s="27">
        <f>PK!U13</f>
        <v>0</v>
      </c>
      <c r="W396" s="27">
        <f>PK!V13</f>
        <v>0</v>
      </c>
      <c r="X396" s="27">
        <f>PK!W13</f>
        <v>0</v>
      </c>
      <c r="Y396" s="27">
        <f>PK!X13</f>
        <v>0</v>
      </c>
      <c r="Z396" s="27">
        <f>PK!Y13</f>
        <v>0</v>
      </c>
      <c r="AA396" s="27">
        <f>PK!Z13</f>
        <v>0</v>
      </c>
    </row>
    <row r="397" spans="4:27" ht="12.75">
      <c r="D397" s="4" t="s">
        <v>795</v>
      </c>
      <c r="E397" s="4">
        <v>6</v>
      </c>
      <c r="F397" s="4">
        <f>PK!G14</f>
        <v>5</v>
      </c>
      <c r="G397" s="4">
        <f>IF(PK!H14&lt;&gt;"",PK!H14,"")</f>
      </c>
      <c r="H397" s="26">
        <f t="shared" si="24"/>
        <v>0</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0</v>
      </c>
      <c r="Y397" s="27">
        <f>PK!X14</f>
        <v>0</v>
      </c>
      <c r="Z397" s="27">
        <f>PK!Y14</f>
        <v>0</v>
      </c>
      <c r="AA397" s="27">
        <f>PK!Z14</f>
        <v>0</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0</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0</v>
      </c>
      <c r="X414" s="27">
        <f>PK!W31</f>
        <v>0</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0</v>
      </c>
      <c r="I416" s="27">
        <f t="shared" si="25"/>
        <v>0</v>
      </c>
      <c r="J416" s="27">
        <f>PK!I33</f>
        <v>0</v>
      </c>
      <c r="K416" s="27">
        <f>PK!J33</f>
        <v>0</v>
      </c>
      <c r="L416" s="27">
        <f>PK!K33</f>
        <v>0</v>
      </c>
      <c r="M416" s="27">
        <f>PK!L33</f>
        <v>0</v>
      </c>
      <c r="N416" s="27">
        <f>PK!M33</f>
        <v>0</v>
      </c>
      <c r="O416" s="27">
        <f>PK!N33</f>
        <v>0</v>
      </c>
      <c r="P416" s="27">
        <f>PK!O33</f>
        <v>0</v>
      </c>
      <c r="Q416" s="27">
        <f>PK!P33</f>
        <v>0</v>
      </c>
      <c r="R416" s="27">
        <f>PK!Q33</f>
        <v>0</v>
      </c>
      <c r="S416" s="27">
        <f>PK!R33</f>
        <v>0</v>
      </c>
      <c r="T416" s="27">
        <f>PK!S33</f>
        <v>0</v>
      </c>
      <c r="U416" s="27">
        <f>PK!T33</f>
        <v>0</v>
      </c>
      <c r="V416" s="27">
        <f>PK!U33</f>
        <v>0</v>
      </c>
      <c r="W416" s="27">
        <f>PK!V33</f>
        <v>0</v>
      </c>
      <c r="X416" s="27">
        <f>PK!W33</f>
        <v>0</v>
      </c>
      <c r="Y416" s="27">
        <f>PK!X33</f>
        <v>0</v>
      </c>
      <c r="Z416" s="27">
        <f>PK!Y33</f>
        <v>0</v>
      </c>
      <c r="AA416" s="27">
        <f>PK!Z33</f>
        <v>0</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0</v>
      </c>
      <c r="I420" s="27">
        <f t="shared" si="25"/>
        <v>0</v>
      </c>
      <c r="J420" s="27">
        <f>PK!I39</f>
        <v>0</v>
      </c>
      <c r="K420" s="27">
        <f>PK!J39</f>
        <v>0</v>
      </c>
      <c r="L420" s="27">
        <f>PK!K39</f>
        <v>0</v>
      </c>
      <c r="M420" s="27">
        <f>PK!L39</f>
        <v>0</v>
      </c>
      <c r="N420" s="27">
        <f>PK!M39</f>
        <v>0</v>
      </c>
      <c r="O420" s="27">
        <f>PK!N39</f>
        <v>0</v>
      </c>
      <c r="P420" s="27">
        <f>PK!O39</f>
        <v>0</v>
      </c>
      <c r="Q420" s="27">
        <f>PK!P39</f>
        <v>0</v>
      </c>
      <c r="R420" s="27">
        <f>PK!Q39</f>
        <v>0</v>
      </c>
      <c r="S420" s="27">
        <f>PK!R39</f>
        <v>0</v>
      </c>
      <c r="T420" s="27">
        <f>PK!S39</f>
        <v>0</v>
      </c>
      <c r="U420" s="27">
        <f>PK!T39</f>
        <v>0</v>
      </c>
      <c r="V420" s="27">
        <f>PK!U39</f>
        <v>0</v>
      </c>
      <c r="W420" s="27">
        <f>PK!V39</f>
        <v>0</v>
      </c>
      <c r="X420" s="27">
        <f>PK!W39</f>
        <v>0</v>
      </c>
      <c r="Y420" s="27">
        <f>PK!X39</f>
        <v>0</v>
      </c>
      <c r="Z420" s="27">
        <f>PK!Y39</f>
        <v>0</v>
      </c>
      <c r="AA420" s="27">
        <f>PK!Z39</f>
        <v>0</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0</v>
      </c>
      <c r="I423" s="27">
        <f t="shared" si="25"/>
        <v>0</v>
      </c>
      <c r="J423" s="27">
        <f>PK!I42</f>
        <v>0</v>
      </c>
      <c r="K423" s="27">
        <f>PK!J42</f>
        <v>0</v>
      </c>
      <c r="L423" s="27">
        <f>PK!K42</f>
        <v>0</v>
      </c>
      <c r="M423" s="27">
        <f>PK!L42</f>
        <v>0</v>
      </c>
      <c r="N423" s="27">
        <f>PK!M42</f>
        <v>0</v>
      </c>
      <c r="O423" s="27">
        <f>PK!N42</f>
        <v>0</v>
      </c>
      <c r="P423" s="27">
        <f>PK!O42</f>
        <v>0</v>
      </c>
      <c r="Q423" s="27">
        <f>PK!P42</f>
        <v>0</v>
      </c>
      <c r="R423" s="27">
        <f>PK!Q42</f>
        <v>0</v>
      </c>
      <c r="S423" s="27">
        <f>PK!R42</f>
        <v>0</v>
      </c>
      <c r="T423" s="27">
        <f>PK!S42</f>
        <v>0</v>
      </c>
      <c r="U423" s="27">
        <f>PK!T42</f>
        <v>0</v>
      </c>
      <c r="V423" s="27">
        <f>PK!U42</f>
        <v>0</v>
      </c>
      <c r="W423" s="27">
        <f>PK!V42</f>
        <v>0</v>
      </c>
      <c r="X423" s="27">
        <f>PK!W42</f>
        <v>0</v>
      </c>
      <c r="Y423" s="27">
        <f>PK!X42</f>
        <v>0</v>
      </c>
      <c r="Z423" s="27">
        <f>PK!Y42</f>
        <v>0</v>
      </c>
      <c r="AA423" s="27">
        <f>PK!Z42</f>
        <v>0</v>
      </c>
    </row>
    <row r="424" spans="4:27" ht="12.75">
      <c r="D424" s="4" t="s">
        <v>795</v>
      </c>
      <c r="E424" s="4">
        <v>6</v>
      </c>
      <c r="F424" s="4">
        <f>PK!G43</f>
        <v>32</v>
      </c>
      <c r="G424" s="4">
        <f>IF(PK!H43&lt;&gt;"",PK!H43,"")</f>
      </c>
      <c r="H424" s="26">
        <f t="shared" si="24"/>
        <v>0</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0</v>
      </c>
      <c r="Y424" s="27">
        <f>PK!X43</f>
        <v>0</v>
      </c>
      <c r="Z424" s="27">
        <f>PK!Y43</f>
        <v>0</v>
      </c>
      <c r="AA424" s="27">
        <f>PK!Z43</f>
        <v>0</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0</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0</v>
      </c>
      <c r="X441" s="27">
        <f>PK!W60</f>
        <v>0</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0</v>
      </c>
      <c r="I443" s="27">
        <f t="shared" si="25"/>
        <v>0</v>
      </c>
      <c r="J443" s="27">
        <f>PK!I62</f>
        <v>0</v>
      </c>
      <c r="K443" s="27">
        <f>PK!J62</f>
        <v>0</v>
      </c>
      <c r="L443" s="27">
        <f>PK!K62</f>
        <v>0</v>
      </c>
      <c r="M443" s="27">
        <f>PK!L62</f>
        <v>0</v>
      </c>
      <c r="N443" s="27">
        <f>PK!M62</f>
        <v>0</v>
      </c>
      <c r="O443" s="27">
        <f>PK!N62</f>
        <v>0</v>
      </c>
      <c r="P443" s="27">
        <f>PK!O62</f>
        <v>0</v>
      </c>
      <c r="Q443" s="27">
        <f>PK!P62</f>
        <v>0</v>
      </c>
      <c r="R443" s="27">
        <f>PK!Q62</f>
        <v>0</v>
      </c>
      <c r="S443" s="27">
        <f>PK!R62</f>
        <v>0</v>
      </c>
      <c r="T443" s="27">
        <f>PK!S62</f>
        <v>0</v>
      </c>
      <c r="U443" s="27">
        <f>PK!T62</f>
        <v>0</v>
      </c>
      <c r="V443" s="27">
        <f>PK!U62</f>
        <v>0</v>
      </c>
      <c r="W443" s="27">
        <f>PK!V62</f>
        <v>0</v>
      </c>
      <c r="X443" s="27">
        <f>PK!W62</f>
        <v>0</v>
      </c>
      <c r="Y443" s="27">
        <f>PK!X62</f>
        <v>0</v>
      </c>
      <c r="Z443" s="27">
        <f>PK!Y62</f>
        <v>0</v>
      </c>
      <c r="AA443" s="27">
        <f>PK!Z62</f>
        <v>0</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68" activePane="bottomLeft" state="frozen"/>
      <selection pane="topLeft" activeCell="A2" sqref="A2"/>
      <selection pane="bottomLeft" activeCell="C2" sqref="C2"/>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NE</v>
      </c>
      <c r="V2" s="204" t="s">
        <v>1562</v>
      </c>
      <c r="W2" s="223" t="str">
        <f>RefStr!C29</f>
        <v>AQUAPARK ZELINA D.O.O.</v>
      </c>
      <c r="X2" s="204" t="s">
        <v>1769</v>
      </c>
      <c r="Y2" s="223">
        <f>IF(RefStr!C54&lt;&gt;"",RefStr!C54,"")</f>
        <v>100</v>
      </c>
      <c r="Z2" s="204" t="s">
        <v>441</v>
      </c>
      <c r="AA2" s="223">
        <f>IF(RefStr!B64="","",RefStr!B64)</f>
      </c>
    </row>
    <row r="3" spans="1:27" ht="13.5" customHeight="1">
      <c r="A3" s="502" t="s">
        <v>672</v>
      </c>
      <c r="B3" s="503"/>
      <c r="C3" s="503"/>
      <c r="D3" s="503"/>
      <c r="E3" s="503"/>
      <c r="F3" s="503"/>
      <c r="G3" s="503"/>
      <c r="H3" s="503"/>
      <c r="I3" s="510"/>
      <c r="J3" s="511"/>
      <c r="L3" s="141"/>
      <c r="M3" s="141"/>
      <c r="N3" s="203" t="s">
        <v>794</v>
      </c>
      <c r="O3" s="206">
        <f>RDG!Q1</f>
        <v>1</v>
      </c>
      <c r="P3" s="207">
        <f>RDG!Q2</f>
        <v>1</v>
      </c>
      <c r="Q3" s="224">
        <f>RDG!Q3</f>
        <v>1</v>
      </c>
      <c r="R3" s="206" t="s">
        <v>894</v>
      </c>
      <c r="S3" s="224">
        <f>IF(RefStr!C50&lt;&gt;"",IF(ISERROR(INT(RefStr!C50)),0,RefStr!C50),0)</f>
        <v>1</v>
      </c>
      <c r="T3" s="206" t="s">
        <v>614</v>
      </c>
      <c r="U3" s="224">
        <f>RefStr!L21</f>
        <v>0</v>
      </c>
      <c r="V3" s="206" t="s">
        <v>2736</v>
      </c>
      <c r="W3" s="224">
        <f>RefStr!C31</f>
        <v>10380</v>
      </c>
      <c r="X3" s="206" t="s">
        <v>1770</v>
      </c>
      <c r="Y3" s="224">
        <f>IF(RefStr!F54&lt;&gt;"",RefStr!F54,"")</f>
        <v>0</v>
      </c>
      <c r="Z3" s="206" t="s">
        <v>442</v>
      </c>
      <c r="AA3" s="224">
        <f>IF(RefStr!B66="","",RefStr!B66)</f>
      </c>
    </row>
    <row r="4" spans="1:27" ht="13.5" customHeight="1">
      <c r="A4" s="504"/>
      <c r="B4" s="505"/>
      <c r="C4" s="505"/>
      <c r="D4" s="505"/>
      <c r="E4" s="505"/>
      <c r="F4" s="505"/>
      <c r="G4" s="505"/>
      <c r="H4" s="505"/>
      <c r="I4" s="214" t="s">
        <v>210</v>
      </c>
      <c r="J4" s="215">
        <f>SUM(L12:L122)</f>
        <v>0</v>
      </c>
      <c r="L4" s="3"/>
      <c r="M4" s="3"/>
      <c r="N4" s="203" t="s">
        <v>555</v>
      </c>
      <c r="O4" s="206">
        <f>Dodatni!Q1</f>
        <v>1</v>
      </c>
      <c r="P4" s="207">
        <f>Dodatni!Q2</f>
        <v>1</v>
      </c>
      <c r="Q4" s="224">
        <f>Dodatni!Q3</f>
        <v>1</v>
      </c>
      <c r="R4" s="206" t="s">
        <v>2890</v>
      </c>
      <c r="S4" s="224">
        <f>IF(RefStr!C52&lt;&gt;"",IF(ISERROR(INT(RefStr!C52)),0,RefStr!C52),0)</f>
        <v>11</v>
      </c>
      <c r="T4" s="206" t="s">
        <v>1316</v>
      </c>
      <c r="U4" s="224" t="str">
        <f>RefStr!C27</f>
        <v>34347571917</v>
      </c>
      <c r="V4" s="206" t="s">
        <v>2737</v>
      </c>
      <c r="W4" s="224" t="str">
        <f>RefStr!F31</f>
        <v>SVETI IVAN ZELINA</v>
      </c>
      <c r="X4" s="226" t="s">
        <v>1783</v>
      </c>
      <c r="Y4" s="227" t="str">
        <f>RefStr!I68</f>
        <v>DA</v>
      </c>
      <c r="Z4" s="206" t="s">
        <v>2970</v>
      </c>
      <c r="AA4" s="224" t="str">
        <f>RefStr!N19</f>
        <v>HSFI</v>
      </c>
    </row>
    <row r="5" spans="1:27" ht="13.5" customHeight="1">
      <c r="A5" s="504"/>
      <c r="B5" s="505"/>
      <c r="C5" s="505"/>
      <c r="D5" s="505"/>
      <c r="E5" s="505"/>
      <c r="F5" s="505"/>
      <c r="G5" s="505"/>
      <c r="H5" s="505"/>
      <c r="I5" s="512"/>
      <c r="J5" s="513"/>
      <c r="L5" s="3"/>
      <c r="M5" s="3"/>
      <c r="N5" s="203" t="s">
        <v>556</v>
      </c>
      <c r="O5" s="206">
        <f>NT_I!Q1</f>
        <v>0</v>
      </c>
      <c r="P5" s="207">
        <f>NT_I!Q2</f>
        <v>0</v>
      </c>
      <c r="Q5" s="224">
        <f>NT_I!Q3</f>
        <v>0</v>
      </c>
      <c r="R5" s="206" t="s">
        <v>2888</v>
      </c>
      <c r="S5" s="224">
        <f>IF(RefStr!C19&lt;&gt;"",IF(ISERROR(INT(RefStr!C19)),0,RefStr!C19),0)</f>
        <v>3</v>
      </c>
      <c r="T5" s="206" t="s">
        <v>1560</v>
      </c>
      <c r="U5" s="224" t="str">
        <f>RefStr!H27</f>
        <v>04674766</v>
      </c>
      <c r="V5" s="206" t="s">
        <v>2738</v>
      </c>
      <c r="W5" s="224" t="str">
        <f>RefStr!C33</f>
        <v>TRG ANTE STARČEVIĆA 12</v>
      </c>
      <c r="X5" s="226" t="s">
        <v>2929</v>
      </c>
      <c r="Y5" s="227" t="str">
        <f>RefStr!I62</f>
        <v>NE</v>
      </c>
      <c r="Z5" s="206" t="s">
        <v>927</v>
      </c>
      <c r="AA5" s="224">
        <f>RefStr!M46</f>
        <v>0</v>
      </c>
    </row>
    <row r="6" spans="1:27" ht="13.5" customHeight="1">
      <c r="A6" s="504"/>
      <c r="B6" s="505"/>
      <c r="C6" s="505"/>
      <c r="D6" s="505"/>
      <c r="E6" s="505"/>
      <c r="F6" s="505"/>
      <c r="G6" s="505"/>
      <c r="H6" s="505"/>
      <c r="I6" s="512"/>
      <c r="J6" s="513"/>
      <c r="L6" s="3"/>
      <c r="M6" s="3"/>
      <c r="N6" s="203" t="s">
        <v>557</v>
      </c>
      <c r="O6" s="206">
        <f>NT_D!Q1</f>
        <v>0</v>
      </c>
      <c r="P6" s="207">
        <f>NT_D!Q2</f>
        <v>0</v>
      </c>
      <c r="Q6" s="224">
        <f>NT_D!Q3</f>
        <v>0</v>
      </c>
      <c r="R6" s="206" t="s">
        <v>2886</v>
      </c>
      <c r="S6" s="224" t="str">
        <f>RefStr!C21</f>
        <v>NE</v>
      </c>
      <c r="T6" s="206" t="s">
        <v>1561</v>
      </c>
      <c r="U6" s="224" t="str">
        <f>RefStr!M27</f>
        <v>081072355</v>
      </c>
      <c r="V6" s="206" t="s">
        <v>2968</v>
      </c>
      <c r="W6" s="224" t="str">
        <f>RefStr!L35</f>
        <v>01/2040752</v>
      </c>
      <c r="X6" s="206" t="s">
        <v>2926</v>
      </c>
      <c r="Y6" s="224" t="str">
        <f>RefStr!C68</f>
        <v>IVAN DANANIĆ</v>
      </c>
      <c r="Z6" s="206" t="s">
        <v>2952</v>
      </c>
      <c r="AA6" s="224">
        <f>RefStr!C46</f>
        <v>0</v>
      </c>
    </row>
    <row r="7" spans="1:27" ht="13.5" customHeight="1">
      <c r="A7" s="504"/>
      <c r="B7" s="505"/>
      <c r="C7" s="505"/>
      <c r="D7" s="505"/>
      <c r="E7" s="505"/>
      <c r="F7" s="505"/>
      <c r="G7" s="505"/>
      <c r="H7" s="505"/>
      <c r="I7" s="214" t="s">
        <v>211</v>
      </c>
      <c r="J7" s="216">
        <f>SUM(M12:M122)</f>
        <v>2</v>
      </c>
      <c r="N7" s="203" t="s">
        <v>795</v>
      </c>
      <c r="O7" s="206">
        <f>PK!AC1</f>
        <v>0</v>
      </c>
      <c r="P7" s="207">
        <f>PK!AC2</f>
        <v>0</v>
      </c>
      <c r="Q7" s="224">
        <f>PK!AC3</f>
        <v>0</v>
      </c>
      <c r="R7" s="206" t="s">
        <v>2969</v>
      </c>
      <c r="S7" s="224">
        <f>IF(RefStr!C44&lt;&gt;"",IF(ISERROR(INT(RefStr!C44)),0,RefStr!C44),0)</f>
        <v>1</v>
      </c>
      <c r="T7" s="206" t="s">
        <v>916</v>
      </c>
      <c r="U7" s="224">
        <f>RefStr!C7</f>
        <v>5</v>
      </c>
      <c r="V7" s="206" t="s">
        <v>2884</v>
      </c>
      <c r="W7" s="224" t="str">
        <f>TRIM(UPPER(RefStr!C35))</f>
        <v>AQUAPARK@ZELINA.HR</v>
      </c>
      <c r="X7" s="206" t="s">
        <v>2927</v>
      </c>
      <c r="Y7" s="224" t="str">
        <f>RefStr!C70</f>
        <v>01/2040752</v>
      </c>
      <c r="Z7" s="206" t="s">
        <v>2953</v>
      </c>
      <c r="AA7" s="224">
        <f>RefStr!D46</f>
      </c>
    </row>
    <row r="8" spans="1:27" ht="13.5" customHeight="1">
      <c r="A8" s="506"/>
      <c r="B8" s="507"/>
      <c r="C8" s="507"/>
      <c r="D8" s="507"/>
      <c r="E8" s="507"/>
      <c r="F8" s="507"/>
      <c r="G8" s="507"/>
      <c r="H8" s="507"/>
      <c r="I8" s="508"/>
      <c r="J8" s="509"/>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9329</v>
      </c>
      <c r="X8" s="206" t="s">
        <v>2928</v>
      </c>
      <c r="Y8" s="224" t="str">
        <f>TRIM(UPPER(RefStr!C72))</f>
        <v>IVAN.DANANIC@ZELKOM.HR</v>
      </c>
      <c r="Z8" s="228" t="s">
        <v>1780</v>
      </c>
      <c r="AA8" s="229" t="str">
        <f>RefStr!I56</f>
        <v>DA</v>
      </c>
    </row>
    <row r="9" spans="1:27" ht="13.5" customHeight="1">
      <c r="A9" s="497" t="s">
        <v>819</v>
      </c>
      <c r="B9" s="497"/>
      <c r="C9" s="497" t="s">
        <v>963</v>
      </c>
      <c r="D9" s="497"/>
      <c r="E9" s="497"/>
      <c r="F9" s="497"/>
      <c r="G9" s="497"/>
      <c r="H9" s="497"/>
      <c r="I9" s="497"/>
      <c r="J9" s="497"/>
      <c r="L9" s="190"/>
      <c r="M9" s="190"/>
      <c r="O9" s="222" t="s">
        <v>1464</v>
      </c>
      <c r="P9" s="204">
        <f>RefStr!C58</f>
        <v>0</v>
      </c>
      <c r="Q9" s="223">
        <f>RefStr!F58</f>
        <v>0</v>
      </c>
      <c r="R9" s="206" t="s">
        <v>914</v>
      </c>
      <c r="S9" s="224">
        <f>IF(RefStr!F4&lt;&gt;"",RefStr!F4,0)</f>
        <v>44561</v>
      </c>
      <c r="T9" s="206" t="s">
        <v>891</v>
      </c>
      <c r="U9" s="224">
        <f>RefStr!C39</f>
        <v>429</v>
      </c>
      <c r="V9" s="206" t="s">
        <v>2951</v>
      </c>
      <c r="W9" s="224" t="str">
        <f>RefStr!D42</f>
        <v>Ostale zabavne i rekreacijske djelatno...</v>
      </c>
      <c r="X9" s="230" t="s">
        <v>1782</v>
      </c>
      <c r="Y9" s="231" t="str">
        <f>RefStr!I66</f>
        <v>DA</v>
      </c>
      <c r="Z9" s="228" t="s">
        <v>1781</v>
      </c>
      <c r="AA9" s="229" t="str">
        <f>RefStr!I64</f>
        <v>NE</v>
      </c>
    </row>
    <row r="10" spans="1:27" ht="13.5" customHeight="1">
      <c r="A10" s="498"/>
      <c r="B10" s="498"/>
      <c r="C10" s="498"/>
      <c r="D10" s="498"/>
      <c r="E10" s="498"/>
      <c r="F10" s="498"/>
      <c r="G10" s="498"/>
      <c r="H10" s="498"/>
      <c r="I10" s="498"/>
      <c r="J10" s="498"/>
      <c r="L10" s="190"/>
      <c r="M10" s="190"/>
      <c r="O10" s="222" t="s">
        <v>1998</v>
      </c>
      <c r="P10" s="208">
        <f>RefStr!C56</f>
        <v>0</v>
      </c>
      <c r="Q10" s="225">
        <f>RefStr!F56</f>
        <v>0</v>
      </c>
      <c r="R10" s="208" t="s">
        <v>917</v>
      </c>
      <c r="S10" s="225">
        <f>RefStr!C23</f>
        <v>1</v>
      </c>
      <c r="T10" s="208" t="s">
        <v>2973</v>
      </c>
      <c r="U10" s="225" t="str">
        <f>RefStr!D39</f>
        <v>Sveti Ivan Zelina</v>
      </c>
      <c r="V10" s="232"/>
      <c r="W10" s="233"/>
      <c r="X10" s="234" t="s">
        <v>2279</v>
      </c>
      <c r="Y10" s="235">
        <f>RefStr!F12</f>
        <v>2021</v>
      </c>
      <c r="Z10" s="208" t="s">
        <v>1771</v>
      </c>
      <c r="AA10" s="225" t="str">
        <f>RefStr!A75</f>
        <v>DANANIĆ IVAN</v>
      </c>
    </row>
    <row r="11" spans="1:25" ht="13.5" customHeight="1">
      <c r="A11" s="499" t="s">
        <v>1492</v>
      </c>
      <c r="B11" s="500"/>
      <c r="C11" s="500"/>
      <c r="D11" s="500"/>
      <c r="E11" s="500"/>
      <c r="F11" s="500"/>
      <c r="G11" s="500"/>
      <c r="H11" s="500"/>
      <c r="I11" s="500"/>
      <c r="J11" s="501"/>
      <c r="L11" s="190"/>
      <c r="M11" s="190"/>
      <c r="N11" s="203"/>
      <c r="O11" s="210"/>
      <c r="P11" s="210"/>
      <c r="Q11" s="210"/>
      <c r="X11" s="3"/>
      <c r="Y11" s="3"/>
    </row>
    <row r="12" spans="1:15" ht="19.5" customHeight="1">
      <c r="A12" s="241">
        <v>1</v>
      </c>
      <c r="B12" s="237" t="str">
        <f aca="true" t="shared" si="0" ref="B12:B42">IF(L12=1,"Pogreška",IF(M12=1,"Provjera","OK"))</f>
        <v>OK</v>
      </c>
      <c r="C12" s="492" t="s">
        <v>1466</v>
      </c>
      <c r="D12" s="492"/>
      <c r="E12" s="492"/>
      <c r="F12" s="492"/>
      <c r="G12" s="492"/>
      <c r="H12" s="492"/>
      <c r="I12" s="492"/>
      <c r="J12" s="492"/>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493" t="s">
        <v>1285</v>
      </c>
      <c r="B43" s="494"/>
      <c r="C43" s="494"/>
      <c r="D43" s="494"/>
      <c r="E43" s="494"/>
      <c r="F43" s="494"/>
      <c r="G43" s="494"/>
      <c r="H43" s="494"/>
      <c r="I43" s="494"/>
      <c r="J43" s="495"/>
      <c r="L43" s="190">
        <f t="shared" si="5"/>
        <v>0</v>
      </c>
      <c r="M43" s="190"/>
      <c r="N43" s="190"/>
      <c r="O43" s="190"/>
      <c r="P43" s="190"/>
    </row>
    <row r="44" spans="1:17" ht="53.25" customHeight="1">
      <c r="A44" s="241">
        <f>A42+1</f>
        <v>32</v>
      </c>
      <c r="B44" s="237" t="str">
        <f>IF(L44=1,"Pogreška",IF(M44=1,"Provjera","OK"))</f>
        <v>OK</v>
      </c>
      <c r="C44" s="492" t="s">
        <v>702</v>
      </c>
      <c r="D44" s="492"/>
      <c r="E44" s="492"/>
      <c r="F44" s="492"/>
      <c r="G44" s="492"/>
      <c r="H44" s="492"/>
      <c r="I44" s="492"/>
      <c r="J44" s="492"/>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1, a upisana veličina je 1.</v>
      </c>
      <c r="D50" s="491"/>
      <c r="E50" s="491"/>
      <c r="F50" s="491"/>
      <c r="G50" s="491"/>
      <c r="H50" s="491"/>
      <c r="I50" s="491"/>
      <c r="J50" s="491"/>
      <c r="L50" s="190">
        <f>IF(N50&lt;&gt;S3,1,0)</f>
        <v>0</v>
      </c>
      <c r="M50" s="190"/>
      <c r="N50" s="190">
        <f>IF(P8&gt;0,O50,AC50)</f>
        <v>1</v>
      </c>
      <c r="O50" s="194">
        <f>IF(SUM(Y50:AA50)&gt;1,4,IF(SUM(U50:W50)&gt;1,3,IF(SUM(Q50:S50)&gt;1,2,IF(S6="DA",2,1))))</f>
        <v>1</v>
      </c>
      <c r="P50" s="197" t="s">
        <v>1794</v>
      </c>
      <c r="Q50" s="197">
        <f>IF(Bilanca!I73&gt;2600000,1,0)</f>
        <v>0</v>
      </c>
      <c r="R50" s="196">
        <f>IF(RDG!I60&gt;5200000,1,0)</f>
        <v>0</v>
      </c>
      <c r="S50" s="196">
        <f>IF(P10&gt;10,1,0)</f>
        <v>0</v>
      </c>
      <c r="T50" s="196" t="s">
        <v>2256</v>
      </c>
      <c r="U50" s="196">
        <f>IF(Bilanca!I73&gt;30000000,1,0)</f>
        <v>0</v>
      </c>
      <c r="V50" s="196">
        <f>IF(RDG!I60&gt;60000000,1,0)</f>
        <v>0</v>
      </c>
      <c r="W50" s="196">
        <f>IF(P10&gt;50,1,0)</f>
        <v>0</v>
      </c>
      <c r="X50" s="196" t="s">
        <v>2257</v>
      </c>
      <c r="Y50" s="196">
        <f>IF(Bilanca!I73&gt;150000000,1,0)</f>
        <v>0</v>
      </c>
      <c r="Z50" s="196">
        <f>IF(RDG!I60&gt;300000000,1,0)</f>
        <v>0</v>
      </c>
      <c r="AA50" s="196">
        <f>IF(P10&gt;250,1,0)</f>
        <v>0</v>
      </c>
      <c r="AC50" s="194">
        <f>IF(SUM(AM50:AO50)&gt;1,4,IF(SUM(AI50:AK50)&gt;1,3,IF(SUM(AE50:AG50)&gt;1,2,IF(S6="DA",2,1))))</f>
        <v>1</v>
      </c>
      <c r="AD50" s="197" t="s">
        <v>1794</v>
      </c>
      <c r="AE50" s="197">
        <f>IF(Bilanca!J73&gt;2600000,1,0)</f>
        <v>0</v>
      </c>
      <c r="AF50" s="196">
        <f>IF(S9&gt;S8,IF(RDG!J60*365/(S9-S8)&gt;5200000,1,0),0)</f>
        <v>0</v>
      </c>
      <c r="AG50" s="196">
        <f>IF(Q10&gt;10,1,0)</f>
        <v>0</v>
      </c>
      <c r="AH50" s="196" t="s">
        <v>2256</v>
      </c>
      <c r="AI50" s="196">
        <f>IF(Bilanca!J73&gt;30000000,1,0)</f>
        <v>0</v>
      </c>
      <c r="AJ50" s="196">
        <f>IF(S9&gt;S8,IF(RDG!J60*365/(S9-S8)&gt;60000000,1,0),0)</f>
        <v>0</v>
      </c>
      <c r="AK50" s="196">
        <f>IF(Q10&gt;50,1,0)</f>
        <v>0</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0</v>
      </c>
      <c r="AA52" s="217">
        <f>IF(Bilanca!I73&gt;15000000,1,0)</f>
        <v>0</v>
      </c>
      <c r="AB52" s="217">
        <f>IF(RDG!I60&gt;30000000,1,0)</f>
        <v>0</v>
      </c>
      <c r="AC52" s="217">
        <f>IF(P10&gt;25,1,0)</f>
        <v>0</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16" t="s">
        <v>2652</v>
      </c>
      <c r="D68" s="514"/>
      <c r="E68" s="514"/>
      <c r="F68" s="514"/>
      <c r="G68" s="514"/>
      <c r="H68" s="514"/>
      <c r="I68" s="514"/>
      <c r="J68" s="515"/>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14"/>
      <c r="E71" s="514"/>
      <c r="F71" s="514"/>
      <c r="G71" s="514"/>
      <c r="H71" s="514"/>
      <c r="I71" s="514"/>
      <c r="J71" s="515"/>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520" t="s">
        <v>308</v>
      </c>
      <c r="B73" s="521"/>
      <c r="C73" s="521"/>
      <c r="D73" s="521"/>
      <c r="E73" s="521"/>
      <c r="F73" s="521"/>
      <c r="G73" s="521"/>
      <c r="H73" s="521"/>
      <c r="I73" s="521"/>
      <c r="J73" s="522"/>
      <c r="L73" s="190">
        <f>MAX(N73:R73)</f>
        <v>0</v>
      </c>
      <c r="M73" s="190"/>
      <c r="N73" s="190"/>
      <c r="O73" s="190"/>
      <c r="P73" s="190"/>
    </row>
    <row r="74" spans="1:17" ht="33" customHeight="1">
      <c r="A74" s="241">
        <f>A72+1</f>
        <v>61</v>
      </c>
      <c r="B74" s="237" t="str">
        <f aca="true" t="shared" si="12" ref="B74:B88">IF(L74=1,"Pogreška",IF(M74=1,"Provjera","OK"))</f>
        <v>OK</v>
      </c>
      <c r="C74" s="492" t="s">
        <v>765</v>
      </c>
      <c r="D74" s="492"/>
      <c r="E74" s="492"/>
      <c r="F74" s="492"/>
      <c r="G74" s="492"/>
      <c r="H74" s="492"/>
      <c r="I74" s="492"/>
      <c r="J74" s="492"/>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Provjera</v>
      </c>
      <c r="C91" s="491" t="s">
        <v>2419</v>
      </c>
      <c r="D91" s="491"/>
      <c r="E91" s="491"/>
      <c r="F91" s="491"/>
      <c r="G91" s="491"/>
      <c r="H91" s="491"/>
      <c r="I91" s="491"/>
      <c r="J91" s="491"/>
      <c r="L91" s="190">
        <v>0</v>
      </c>
      <c r="M91" s="190">
        <f>MAX(N91:O91)</f>
        <v>1</v>
      </c>
      <c r="N91" s="190">
        <f>IF(AND(P4&gt;0,O8&lt;&gt;"DA",Dodatni!I50=0),1,0)</f>
        <v>1</v>
      </c>
      <c r="O91" s="190">
        <f>IF(AND(Q4&gt;0,O8&lt;&gt;"DA",Dodatni!J50=0),1,0)</f>
        <v>1</v>
      </c>
      <c r="P91" s="190"/>
    </row>
    <row r="92" spans="1:16" ht="30" customHeight="1">
      <c r="A92" s="242">
        <f>A91+1</f>
        <v>79</v>
      </c>
      <c r="B92" s="238" t="str">
        <f>IF(L92=1,"Pogreška",IF(M92=1,"Provjera","OK"))</f>
        <v>Provjera</v>
      </c>
      <c r="C92" s="491" t="s">
        <v>782</v>
      </c>
      <c r="D92" s="491"/>
      <c r="E92" s="491"/>
      <c r="F92" s="491"/>
      <c r="G92" s="491"/>
      <c r="H92" s="491"/>
      <c r="I92" s="491"/>
      <c r="J92" s="491"/>
      <c r="L92" s="190">
        <v>0</v>
      </c>
      <c r="M92" s="190">
        <f>MAX(N92:O92)</f>
        <v>1</v>
      </c>
      <c r="N92" s="190">
        <f>IF(AND(P4&gt;0,O8&lt;&gt;"DA",Dodatni!I51=0),1,0)</f>
        <v>1</v>
      </c>
      <c r="O92" s="190">
        <f>IF(AND(Q4&gt;0,O8&lt;&gt;"DA",Dodatni!J51=0),1,0)</f>
        <v>1</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517" t="s">
        <v>959</v>
      </c>
      <c r="B109" s="518"/>
      <c r="C109" s="518"/>
      <c r="D109" s="518"/>
      <c r="E109" s="518"/>
      <c r="F109" s="518"/>
      <c r="G109" s="518"/>
      <c r="H109" s="518"/>
      <c r="I109" s="518"/>
      <c r="J109" s="519"/>
    </row>
    <row r="110" spans="1:17" ht="54" customHeight="1">
      <c r="A110" s="241">
        <f>A108+1</f>
        <v>96</v>
      </c>
      <c r="B110" s="240" t="str">
        <f aca="true" t="shared" si="18" ref="B110:B122">IF(L110=1,"Pogreška",IF(M110=1,"Provjera","OK"))</f>
        <v>OK</v>
      </c>
      <c r="C110" s="492" t="s">
        <v>1951</v>
      </c>
      <c r="D110" s="492"/>
      <c r="E110" s="492"/>
      <c r="F110" s="492"/>
      <c r="G110" s="492"/>
      <c r="H110" s="492"/>
      <c r="I110" s="492"/>
      <c r="J110" s="492"/>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C:\Users\Zelkom_Dell_Gluhak\Desktop\[GFI-POD, Godišnji financijski izvještaj AQUAPARK.xls]RefStr</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20:J20"/>
    <mergeCell ref="C25:J25"/>
    <mergeCell ref="C14:J14"/>
    <mergeCell ref="C22:J22"/>
    <mergeCell ref="C23:J23"/>
    <mergeCell ref="C24:J24"/>
    <mergeCell ref="C13:J13"/>
    <mergeCell ref="C19:J19"/>
    <mergeCell ref="C16:J16"/>
    <mergeCell ref="C18:J18"/>
    <mergeCell ref="C15:J15"/>
    <mergeCell ref="C17:J17"/>
    <mergeCell ref="A73:J73"/>
    <mergeCell ref="C26:J26"/>
    <mergeCell ref="C28:J28"/>
    <mergeCell ref="C27:J27"/>
    <mergeCell ref="C35:J35"/>
    <mergeCell ref="C32:J32"/>
    <mergeCell ref="C29:J29"/>
    <mergeCell ref="C31:J31"/>
    <mergeCell ref="C30:J30"/>
    <mergeCell ref="C66:J66"/>
    <mergeCell ref="C84:J84"/>
    <mergeCell ref="C36:J36"/>
    <mergeCell ref="C33:J33"/>
    <mergeCell ref="C34:J34"/>
    <mergeCell ref="C75:J75"/>
    <mergeCell ref="C70:J70"/>
    <mergeCell ref="C67:J67"/>
    <mergeCell ref="C69:J69"/>
    <mergeCell ref="C74:J74"/>
    <mergeCell ref="C72:J72"/>
    <mergeCell ref="C87:J87"/>
    <mergeCell ref="C85:J85"/>
    <mergeCell ref="C95:J95"/>
    <mergeCell ref="C76:J76"/>
    <mergeCell ref="C90:J90"/>
    <mergeCell ref="C89:J89"/>
    <mergeCell ref="C77:J77"/>
    <mergeCell ref="C82:J82"/>
    <mergeCell ref="C86:J86"/>
    <mergeCell ref="C80:J80"/>
    <mergeCell ref="C108:J108"/>
    <mergeCell ref="C117:J117"/>
    <mergeCell ref="A109:J109"/>
    <mergeCell ref="C116:J116"/>
    <mergeCell ref="C113:J113"/>
    <mergeCell ref="C114:J114"/>
    <mergeCell ref="C115:J115"/>
    <mergeCell ref="C68:J68"/>
    <mergeCell ref="C54:J54"/>
    <mergeCell ref="C55:J55"/>
    <mergeCell ref="C64:J64"/>
    <mergeCell ref="C65:J65"/>
    <mergeCell ref="C48:J48"/>
    <mergeCell ref="C60:J60"/>
    <mergeCell ref="C61:J61"/>
    <mergeCell ref="C62:J62"/>
    <mergeCell ref="C50:J50"/>
    <mergeCell ref="C51:J51"/>
    <mergeCell ref="C57:J57"/>
    <mergeCell ref="C122:J122"/>
    <mergeCell ref="C121:J121"/>
    <mergeCell ref="C120:J120"/>
    <mergeCell ref="C110:J110"/>
    <mergeCell ref="C112:J112"/>
    <mergeCell ref="C111:J111"/>
    <mergeCell ref="C119:J119"/>
    <mergeCell ref="C118:J118"/>
    <mergeCell ref="C100:J100"/>
    <mergeCell ref="C93:J93"/>
    <mergeCell ref="C94:J94"/>
    <mergeCell ref="C79:J79"/>
    <mergeCell ref="C88:J88"/>
    <mergeCell ref="C71:J71"/>
    <mergeCell ref="C97:J97"/>
    <mergeCell ref="C99:J99"/>
    <mergeCell ref="C81:J81"/>
    <mergeCell ref="C96:J96"/>
    <mergeCell ref="A3:H8"/>
    <mergeCell ref="I8:J8"/>
    <mergeCell ref="I3:J3"/>
    <mergeCell ref="I5:J5"/>
    <mergeCell ref="I6:J6"/>
    <mergeCell ref="C104:J104"/>
    <mergeCell ref="C103:J103"/>
    <mergeCell ref="C101:J101"/>
    <mergeCell ref="C78:J78"/>
    <mergeCell ref="C83:J83"/>
    <mergeCell ref="C9:J10"/>
    <mergeCell ref="C59:J59"/>
    <mergeCell ref="C63:J63"/>
    <mergeCell ref="C45:J45"/>
    <mergeCell ref="C58:J58"/>
    <mergeCell ref="A11:J11"/>
    <mergeCell ref="A9:B10"/>
    <mergeCell ref="C41:J41"/>
    <mergeCell ref="C52:J52"/>
    <mergeCell ref="C53:J53"/>
    <mergeCell ref="C12:J12"/>
    <mergeCell ref="C49:J49"/>
    <mergeCell ref="C40:J40"/>
    <mergeCell ref="C42:J42"/>
    <mergeCell ref="C21:J21"/>
    <mergeCell ref="C39:J39"/>
    <mergeCell ref="C37:J37"/>
    <mergeCell ref="C38:J38"/>
    <mergeCell ref="C46:J46"/>
    <mergeCell ref="C47:J47"/>
    <mergeCell ref="C106:J106"/>
    <mergeCell ref="C107:J107"/>
    <mergeCell ref="C44:J44"/>
    <mergeCell ref="A43:J43"/>
    <mergeCell ref="C56:J56"/>
    <mergeCell ref="C98:J98"/>
    <mergeCell ref="C91:J91"/>
    <mergeCell ref="C92:J92"/>
    <mergeCell ref="C102:J102"/>
    <mergeCell ref="C105:J105"/>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49" t="s">
        <v>1705</v>
      </c>
      <c r="B2" s="250"/>
      <c r="C2" s="250"/>
      <c r="D2" s="250"/>
      <c r="E2" s="250"/>
      <c r="F2" s="250"/>
      <c r="G2" s="250"/>
      <c r="H2" s="250"/>
      <c r="I2" s="250"/>
      <c r="J2" s="251"/>
    </row>
    <row r="3" spans="1:10" ht="20.25" customHeight="1">
      <c r="A3" s="264" t="s">
        <v>1738</v>
      </c>
      <c r="B3" s="256"/>
      <c r="C3" s="265"/>
      <c r="D3" s="261" t="s">
        <v>60</v>
      </c>
      <c r="E3" s="262"/>
      <c r="F3" s="262"/>
      <c r="G3" s="262"/>
      <c r="H3" s="262"/>
      <c r="I3" s="262"/>
      <c r="J3" s="263"/>
    </row>
    <row r="4" spans="1:10" ht="33" customHeight="1">
      <c r="A4" s="258" t="s">
        <v>1704</v>
      </c>
      <c r="B4" s="259"/>
      <c r="C4" s="259"/>
      <c r="D4" s="259"/>
      <c r="E4" s="259"/>
      <c r="F4" s="259"/>
      <c r="G4" s="259"/>
      <c r="H4" s="259"/>
      <c r="I4" s="259"/>
      <c r="J4" s="260"/>
    </row>
    <row r="5" spans="1:10" ht="18.75" customHeight="1">
      <c r="A5" s="61" t="s">
        <v>2399</v>
      </c>
      <c r="B5" s="252" t="s">
        <v>53</v>
      </c>
      <c r="C5" s="253"/>
      <c r="D5" s="253"/>
      <c r="E5" s="253"/>
      <c r="F5" s="253"/>
      <c r="G5" s="253"/>
      <c r="H5" s="253"/>
      <c r="I5" s="253"/>
      <c r="J5" s="254"/>
    </row>
    <row r="6" spans="1:10" ht="18.75" customHeight="1" hidden="1">
      <c r="A6" s="62" t="s">
        <v>55</v>
      </c>
      <c r="B6" s="255" t="s">
        <v>54</v>
      </c>
      <c r="C6" s="256"/>
      <c r="D6" s="256"/>
      <c r="E6" s="256"/>
      <c r="F6" s="256"/>
      <c r="G6" s="256"/>
      <c r="H6" s="256"/>
      <c r="I6" s="256"/>
      <c r="J6" s="257"/>
    </row>
    <row r="7" spans="1:10" ht="95.25" customHeight="1" hidden="1">
      <c r="A7" s="62" t="s">
        <v>2659</v>
      </c>
      <c r="B7" s="269" t="s">
        <v>2660</v>
      </c>
      <c r="C7" s="270"/>
      <c r="D7" s="270"/>
      <c r="E7" s="270"/>
      <c r="F7" s="270"/>
      <c r="G7" s="270"/>
      <c r="H7" s="270"/>
      <c r="I7" s="270"/>
      <c r="J7" s="271"/>
    </row>
    <row r="8" spans="1:10" ht="36.75" customHeight="1" hidden="1">
      <c r="A8" s="62" t="s">
        <v>2128</v>
      </c>
      <c r="B8" s="266" t="s">
        <v>1784</v>
      </c>
      <c r="C8" s="267"/>
      <c r="D8" s="267"/>
      <c r="E8" s="267"/>
      <c r="F8" s="267"/>
      <c r="G8" s="267"/>
      <c r="H8" s="267"/>
      <c r="I8" s="267"/>
      <c r="J8" s="268"/>
    </row>
    <row r="9" spans="1:10" ht="69.75" customHeight="1" hidden="1">
      <c r="A9" s="62" t="s">
        <v>1139</v>
      </c>
      <c r="B9" s="266" t="s">
        <v>1542</v>
      </c>
      <c r="C9" s="267"/>
      <c r="D9" s="267"/>
      <c r="E9" s="267"/>
      <c r="F9" s="267"/>
      <c r="G9" s="267"/>
      <c r="H9" s="267"/>
      <c r="I9" s="267"/>
      <c r="J9" s="268"/>
    </row>
    <row r="10" spans="1:10" ht="76.5" customHeight="1" hidden="1">
      <c r="A10" s="62" t="s">
        <v>2914</v>
      </c>
      <c r="B10" s="266" t="s">
        <v>703</v>
      </c>
      <c r="C10" s="267"/>
      <c r="D10" s="267"/>
      <c r="E10" s="267"/>
      <c r="F10" s="267"/>
      <c r="G10" s="267"/>
      <c r="H10" s="267"/>
      <c r="I10" s="267"/>
      <c r="J10" s="268"/>
    </row>
    <row r="11" spans="1:10" ht="30.75" customHeight="1">
      <c r="A11" s="62" t="s">
        <v>362</v>
      </c>
      <c r="B11" s="266" t="s">
        <v>363</v>
      </c>
      <c r="C11" s="267"/>
      <c r="D11" s="267"/>
      <c r="E11" s="267"/>
      <c r="F11" s="267"/>
      <c r="G11" s="267"/>
      <c r="H11" s="267"/>
      <c r="I11" s="267"/>
      <c r="J11" s="268"/>
    </row>
    <row r="12" spans="1:10" ht="30.75" customHeight="1">
      <c r="A12" s="62" t="s">
        <v>594</v>
      </c>
      <c r="B12" s="266" t="s">
        <v>595</v>
      </c>
      <c r="C12" s="267"/>
      <c r="D12" s="267"/>
      <c r="E12" s="267"/>
      <c r="F12" s="267"/>
      <c r="G12" s="267"/>
      <c r="H12" s="267"/>
      <c r="I12" s="267"/>
      <c r="J12" s="268"/>
    </row>
    <row r="13" spans="1:10" ht="58.5" customHeight="1">
      <c r="A13" s="62" t="s">
        <v>1085</v>
      </c>
      <c r="B13" s="266" t="s">
        <v>365</v>
      </c>
      <c r="C13" s="267"/>
      <c r="D13" s="267"/>
      <c r="E13" s="267"/>
      <c r="F13" s="267"/>
      <c r="G13" s="267"/>
      <c r="H13" s="267"/>
      <c r="I13" s="267"/>
      <c r="J13" s="268"/>
    </row>
    <row r="14" spans="1:10" ht="29.25" customHeight="1" hidden="1">
      <c r="A14" s="62" t="s">
        <v>2522</v>
      </c>
      <c r="B14" s="266"/>
      <c r="C14" s="267"/>
      <c r="D14" s="267"/>
      <c r="E14" s="267"/>
      <c r="F14" s="267"/>
      <c r="G14" s="267"/>
      <c r="H14" s="267"/>
      <c r="I14" s="267"/>
      <c r="J14" s="268"/>
    </row>
    <row r="15" ht="6" customHeight="1"/>
  </sheetData>
  <sheetProtection password="C79A" sheet="1" objects="1" scenarios="1"/>
  <mergeCells count="14">
    <mergeCell ref="B14:J14"/>
    <mergeCell ref="B9:J9"/>
    <mergeCell ref="B8:J8"/>
    <mergeCell ref="B7:J7"/>
    <mergeCell ref="B11:J11"/>
    <mergeCell ref="B10:J10"/>
    <mergeCell ref="B12:J12"/>
    <mergeCell ref="B13:J13"/>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3" topLeftCell="A19" activePane="bottomLeft" state="frozen"/>
      <selection pane="topLeft" activeCell="A1" sqref="A1"/>
      <selection pane="bottomLeft" activeCell="A1" sqref="A1"/>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20" t="s">
        <v>696</v>
      </c>
      <c r="B2" s="321"/>
      <c r="C2" s="321"/>
      <c r="D2" s="321"/>
      <c r="E2" s="321"/>
      <c r="F2" s="321"/>
      <c r="G2" s="321"/>
      <c r="H2" s="321"/>
      <c r="I2" s="321"/>
      <c r="J2" s="321"/>
      <c r="K2" s="321"/>
      <c r="L2" s="321"/>
      <c r="M2" s="321"/>
      <c r="N2" s="322"/>
      <c r="O2" s="3"/>
      <c r="P2" s="50"/>
      <c r="Q2" s="49">
        <f>IF(F4&lt;&gt;"",YEAR(F4),"")</f>
        <v>2021</v>
      </c>
    </row>
    <row r="3" spans="1:17" s="144" customFormat="1" ht="22.5" customHeight="1">
      <c r="A3" s="328"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29"/>
      <c r="C3" s="329"/>
      <c r="D3" s="329"/>
      <c r="E3" s="329"/>
      <c r="F3" s="329"/>
      <c r="G3" s="329"/>
      <c r="H3" s="329"/>
      <c r="I3" s="329"/>
      <c r="J3" s="329"/>
      <c r="K3" s="329"/>
      <c r="L3" s="329"/>
      <c r="M3" s="329"/>
      <c r="N3" s="330"/>
      <c r="O3" s="3"/>
      <c r="P3" s="50"/>
      <c r="Q3" s="50"/>
    </row>
    <row r="4" spans="1:17" s="144" customFormat="1" ht="15" customHeight="1">
      <c r="A4" s="323" t="s">
        <v>550</v>
      </c>
      <c r="B4" s="324"/>
      <c r="C4" s="318">
        <v>44197</v>
      </c>
      <c r="D4" s="319"/>
      <c r="E4" s="7" t="s">
        <v>560</v>
      </c>
      <c r="F4" s="318">
        <v>44561</v>
      </c>
      <c r="G4" s="319"/>
      <c r="H4" s="325" t="s">
        <v>199</v>
      </c>
      <c r="I4" s="314"/>
      <c r="J4" s="314"/>
      <c r="K4" s="314"/>
      <c r="L4" s="314"/>
      <c r="M4" s="314"/>
      <c r="N4" s="314"/>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23" t="s">
        <v>559</v>
      </c>
      <c r="B7" s="324"/>
      <c r="C7" s="244">
        <v>5</v>
      </c>
      <c r="D7" s="326"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27"/>
      <c r="F7" s="327"/>
      <c r="G7" s="327"/>
      <c r="H7" s="327"/>
      <c r="I7" s="327"/>
      <c r="J7" s="327"/>
      <c r="K7" s="327"/>
      <c r="L7" s="327"/>
      <c r="M7" s="327"/>
      <c r="N7" s="327"/>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03" t="s">
        <v>732</v>
      </c>
      <c r="B10" s="304"/>
      <c r="C10" s="157"/>
      <c r="D10" s="157"/>
      <c r="E10" s="153"/>
      <c r="F10" s="154"/>
      <c r="G10" s="155"/>
      <c r="H10" s="152"/>
      <c r="I10" s="152"/>
      <c r="J10" s="152"/>
      <c r="K10" s="300" t="s">
        <v>2276</v>
      </c>
      <c r="L10" s="301"/>
      <c r="M10" s="301"/>
      <c r="N10" s="302"/>
      <c r="P10" s="50" t="s">
        <v>885</v>
      </c>
      <c r="Q10" s="51">
        <f>IF(F4&lt;&gt;"",YEAR(F4)/100+MONTH(F4)/2+DAY(F4),0)</f>
        <v>57.21</v>
      </c>
    </row>
    <row r="11" spans="1:17" ht="30" customHeight="1">
      <c r="A11" s="285" t="s">
        <v>1979</v>
      </c>
      <c r="B11" s="286"/>
      <c r="C11" s="286"/>
      <c r="D11" s="286"/>
      <c r="E11" s="286"/>
      <c r="F11" s="286"/>
      <c r="G11" s="286"/>
      <c r="H11" s="286"/>
      <c r="I11" s="286"/>
      <c r="J11" s="286"/>
      <c r="K11" s="286"/>
      <c r="L11" s="286"/>
      <c r="M11" s="286"/>
      <c r="N11" s="286"/>
      <c r="P11" s="50" t="s">
        <v>886</v>
      </c>
      <c r="Q11" s="51">
        <f>INT(VALUE(C17))</f>
        <v>10</v>
      </c>
    </row>
    <row r="12" spans="4:17" ht="19.5" customHeight="1">
      <c r="D12" s="152"/>
      <c r="E12" s="158" t="s">
        <v>1326</v>
      </c>
      <c r="F12" s="312">
        <v>2021</v>
      </c>
      <c r="G12" s="313"/>
      <c r="H12" s="305" t="s">
        <v>1983</v>
      </c>
      <c r="I12" s="306"/>
      <c r="J12" s="306"/>
      <c r="K12" s="152"/>
      <c r="L12" s="152"/>
      <c r="M12" s="152"/>
      <c r="N12" s="152"/>
      <c r="P12" s="50" t="s">
        <v>1561</v>
      </c>
      <c r="Q12" s="51">
        <f>INT(VALUE(H27))/10</f>
        <v>467476.6</v>
      </c>
    </row>
    <row r="13" spans="4:17" ht="9.75" customHeight="1">
      <c r="D13" s="152"/>
      <c r="E13" s="158"/>
      <c r="H13" s="23"/>
      <c r="I13" s="159"/>
      <c r="J13" s="159"/>
      <c r="K13" s="152"/>
      <c r="L13" s="152"/>
      <c r="M13" s="152"/>
      <c r="N13" s="152"/>
      <c r="P13" s="50" t="s">
        <v>1561</v>
      </c>
      <c r="Q13" s="51">
        <f>INT(VALUE(M27))/50</f>
        <v>1621447.1</v>
      </c>
    </row>
    <row r="14" spans="1:17" ht="15">
      <c r="A14" s="289" t="s">
        <v>1312</v>
      </c>
      <c r="B14" s="289"/>
      <c r="C14" s="289"/>
      <c r="D14" s="160"/>
      <c r="E14" s="161"/>
      <c r="F14" s="287"/>
      <c r="G14" s="288"/>
      <c r="H14" s="288"/>
      <c r="I14" s="152"/>
      <c r="J14" s="310" t="s">
        <v>1978</v>
      </c>
      <c r="K14" s="311"/>
      <c r="L14" s="311"/>
      <c r="M14" s="311"/>
      <c r="N14" s="311"/>
      <c r="P14" s="50" t="s">
        <v>1316</v>
      </c>
      <c r="Q14" s="51">
        <f>INT(VALUE(C27))/100</f>
        <v>343475719.17</v>
      </c>
    </row>
    <row r="15" spans="1:17" ht="19.5" customHeight="1">
      <c r="A15" s="307">
        <f>Skriveni!B59</f>
        <v>345791512.94000006</v>
      </c>
      <c r="B15" s="308"/>
      <c r="C15" s="309"/>
      <c r="D15" s="56"/>
      <c r="E15" s="56"/>
      <c r="F15" s="56"/>
      <c r="G15" s="56"/>
      <c r="H15" s="56"/>
      <c r="I15" s="56"/>
      <c r="J15" s="56"/>
      <c r="K15" s="56"/>
      <c r="L15" s="56"/>
      <c r="M15" s="56"/>
      <c r="N15" s="56"/>
      <c r="P15" s="50" t="s">
        <v>887</v>
      </c>
      <c r="Q15" s="51">
        <f>LEN(Skriveni!B9)</f>
        <v>22</v>
      </c>
    </row>
    <row r="16" spans="4:17" ht="12.75" customHeight="1">
      <c r="D16" s="56"/>
      <c r="E16" s="56"/>
      <c r="F16" s="56"/>
      <c r="G16" s="56"/>
      <c r="H16" s="56"/>
      <c r="I16" s="56"/>
      <c r="P16" s="50" t="s">
        <v>888</v>
      </c>
      <c r="Q16" s="51">
        <f>INT(VALUE(C31))/100</f>
        <v>103.8</v>
      </c>
    </row>
    <row r="17" spans="1:17" ht="15" customHeight="1">
      <c r="A17" s="274" t="s">
        <v>1654</v>
      </c>
      <c r="B17" s="275"/>
      <c r="C17" s="31">
        <v>10</v>
      </c>
      <c r="D17" s="294"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295"/>
      <c r="F17" s="295"/>
      <c r="G17" s="295"/>
      <c r="H17" s="295"/>
      <c r="I17" s="295"/>
      <c r="J17" s="295"/>
      <c r="K17" s="295"/>
      <c r="L17" s="295"/>
      <c r="M17" s="295"/>
      <c r="N17" s="295"/>
      <c r="P17" s="50" t="s">
        <v>889</v>
      </c>
      <c r="Q17" s="51">
        <f>LEN(Skriveni!B11)</f>
        <v>17</v>
      </c>
    </row>
    <row r="18" spans="1:17" ht="7.5" customHeight="1">
      <c r="A18" s="152"/>
      <c r="B18" s="152"/>
      <c r="C18" s="56"/>
      <c r="D18" s="295"/>
      <c r="E18" s="295"/>
      <c r="F18" s="295"/>
      <c r="G18" s="295"/>
      <c r="H18" s="295"/>
      <c r="I18" s="295"/>
      <c r="J18" s="295"/>
      <c r="K18" s="295"/>
      <c r="L18" s="295"/>
      <c r="M18" s="295"/>
      <c r="N18" s="295"/>
      <c r="Q18" s="51"/>
    </row>
    <row r="19" spans="1:17" ht="15" customHeight="1">
      <c r="A19" s="274" t="s">
        <v>1314</v>
      </c>
      <c r="B19" s="275"/>
      <c r="C19" s="32">
        <v>3</v>
      </c>
      <c r="D19" s="292" t="str">
        <f>IF(C19="","Upišite svrhu predaje",IF(ISNA(LOOKUP(C19,A118:A120,A118:A120)),"Nepostojeća ili neprepoznatljiva svrha predaje",IF(LOOKUP(C19,A118:A120,A118:A120)&lt;&gt;C19,"Nepostojeća ili neprepoznatljiva svrha predaje",LOOKUP(C19,A118:A120,B118:B120))))</f>
        <v>Predaja i za statističke svrhe i za javnu objavu</v>
      </c>
      <c r="E19" s="293"/>
      <c r="F19" s="293"/>
      <c r="G19" s="293"/>
      <c r="H19" s="293"/>
      <c r="I19" s="296" t="s">
        <v>198</v>
      </c>
      <c r="J19" s="291"/>
      <c r="K19" s="291"/>
      <c r="L19" s="291"/>
      <c r="M19" s="291"/>
      <c r="N19" s="32" t="s">
        <v>2982</v>
      </c>
      <c r="P19" s="50" t="s">
        <v>890</v>
      </c>
      <c r="Q19" s="51">
        <f>LEN(Skriveni!B12)</f>
        <v>22</v>
      </c>
    </row>
    <row r="20" spans="1:17" ht="7.5" customHeight="1">
      <c r="A20" s="10"/>
      <c r="B20" s="43"/>
      <c r="C20" s="30"/>
      <c r="D20" s="293"/>
      <c r="E20" s="293"/>
      <c r="F20" s="293"/>
      <c r="G20" s="293"/>
      <c r="H20" s="293"/>
      <c r="I20" s="30"/>
      <c r="M20" s="142"/>
      <c r="N20" s="162"/>
      <c r="Q20" s="51"/>
    </row>
    <row r="21" spans="1:17" ht="15" customHeight="1">
      <c r="A21" s="279" t="s">
        <v>1986</v>
      </c>
      <c r="B21" s="281"/>
      <c r="C21" s="245" t="s">
        <v>1237</v>
      </c>
      <c r="D21" s="188" t="s">
        <v>1989</v>
      </c>
      <c r="E21" s="274" t="s">
        <v>1987</v>
      </c>
      <c r="F21" s="314"/>
      <c r="G21" s="314"/>
      <c r="H21" s="315"/>
      <c r="I21" s="32" t="s">
        <v>1237</v>
      </c>
      <c r="J21" s="290" t="s">
        <v>1988</v>
      </c>
      <c r="K21" s="291"/>
      <c r="L21" s="282"/>
      <c r="M21" s="283"/>
      <c r="N21" s="284"/>
      <c r="P21" s="50" t="s">
        <v>891</v>
      </c>
      <c r="Q21" s="51">
        <f>INT(VALUE(C39))</f>
        <v>429</v>
      </c>
    </row>
    <row r="22" spans="1:17" ht="4.5" customHeight="1">
      <c r="A22" s="22"/>
      <c r="B22" s="22"/>
      <c r="C22" s="22"/>
      <c r="D22" s="22"/>
      <c r="E22" s="22"/>
      <c r="F22" s="22"/>
      <c r="G22" s="22"/>
      <c r="H22" s="22"/>
      <c r="I22" s="22"/>
      <c r="J22" s="22"/>
      <c r="K22" s="22"/>
      <c r="L22" s="22"/>
      <c r="M22" s="22"/>
      <c r="N22" s="22"/>
      <c r="Q22" s="51"/>
    </row>
    <row r="23" spans="1:17" ht="15" customHeight="1">
      <c r="A23" s="279" t="s">
        <v>2366</v>
      </c>
      <c r="B23" s="375"/>
      <c r="C23" s="39">
        <v>1</v>
      </c>
      <c r="D23" s="294"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295"/>
      <c r="F23" s="295"/>
      <c r="G23" s="295"/>
      <c r="H23" s="295"/>
      <c r="I23" s="295"/>
      <c r="J23" s="295"/>
      <c r="K23" s="295"/>
      <c r="L23" s="295"/>
      <c r="M23" s="295"/>
      <c r="N23" s="295"/>
      <c r="P23" s="50" t="s">
        <v>2448</v>
      </c>
      <c r="Q23" s="51">
        <f>INT(VALUE(C42))</f>
        <v>9329</v>
      </c>
    </row>
    <row r="24" spans="1:17" ht="9.75" customHeight="1">
      <c r="A24" s="375"/>
      <c r="B24" s="375"/>
      <c r="C24" s="56"/>
      <c r="D24" s="295"/>
      <c r="E24" s="295"/>
      <c r="F24" s="295"/>
      <c r="G24" s="295"/>
      <c r="H24" s="295"/>
      <c r="I24" s="295"/>
      <c r="J24" s="295"/>
      <c r="K24" s="295"/>
      <c r="L24" s="295"/>
      <c r="M24" s="295"/>
      <c r="N24" s="295"/>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370" t="s">
        <v>1980</v>
      </c>
      <c r="B27" s="376"/>
      <c r="C27" s="282" t="s">
        <v>2983</v>
      </c>
      <c r="D27" s="374"/>
      <c r="E27" s="284"/>
      <c r="F27" s="370" t="s">
        <v>2787</v>
      </c>
      <c r="G27" s="373"/>
      <c r="H27" s="282" t="s">
        <v>2984</v>
      </c>
      <c r="I27" s="372"/>
      <c r="J27" s="370" t="s">
        <v>1977</v>
      </c>
      <c r="K27" s="281"/>
      <c r="L27" s="280"/>
      <c r="M27" s="282" t="s">
        <v>2988</v>
      </c>
      <c r="N27" s="372"/>
      <c r="P27" s="50" t="s">
        <v>892</v>
      </c>
      <c r="Q27" s="51">
        <f>IF(C21="DA",1,0)</f>
        <v>0</v>
      </c>
    </row>
    <row r="28" spans="1:17" ht="9.75" customHeight="1">
      <c r="A28" s="152"/>
      <c r="B28" s="152"/>
      <c r="C28" s="56"/>
      <c r="D28" s="56"/>
      <c r="E28" s="152"/>
      <c r="F28" s="317" t="s">
        <v>1981</v>
      </c>
      <c r="G28" s="317"/>
      <c r="H28" s="317"/>
      <c r="I28" s="317"/>
      <c r="J28" s="317" t="s">
        <v>1982</v>
      </c>
      <c r="K28" s="317"/>
      <c r="L28" s="317"/>
      <c r="M28" s="317"/>
      <c r="N28" s="317"/>
      <c r="Q28" s="51"/>
    </row>
    <row r="29" spans="1:17" ht="15" customHeight="1">
      <c r="A29" s="274" t="s">
        <v>1313</v>
      </c>
      <c r="B29" s="275"/>
      <c r="C29" s="345" t="s">
        <v>2985</v>
      </c>
      <c r="D29" s="348"/>
      <c r="E29" s="348"/>
      <c r="F29" s="348"/>
      <c r="G29" s="348"/>
      <c r="H29" s="348"/>
      <c r="I29" s="348"/>
      <c r="J29" s="348"/>
      <c r="K29" s="348"/>
      <c r="L29" s="349"/>
      <c r="M29" s="56"/>
      <c r="N29" s="56"/>
      <c r="P29" s="50" t="s">
        <v>893</v>
      </c>
      <c r="Q29" s="51">
        <f>IF(I21="DA",1,0)</f>
        <v>0</v>
      </c>
    </row>
    <row r="30" spans="1:17" ht="4.5" customHeight="1">
      <c r="A30" s="152"/>
      <c r="B30" s="152"/>
      <c r="C30" s="58"/>
      <c r="D30" s="56"/>
      <c r="E30" s="56"/>
      <c r="F30" s="56"/>
      <c r="G30" s="56"/>
      <c r="H30" s="56"/>
      <c r="I30" s="56"/>
      <c r="J30" s="56"/>
      <c r="K30" s="56"/>
      <c r="L30" s="56"/>
      <c r="M30" s="56"/>
      <c r="N30" s="56"/>
      <c r="Q30" s="51"/>
    </row>
    <row r="31" spans="1:17" ht="15" customHeight="1">
      <c r="A31" s="274" t="s">
        <v>930</v>
      </c>
      <c r="B31" s="275"/>
      <c r="C31" s="65">
        <v>10380</v>
      </c>
      <c r="D31" s="343" t="s">
        <v>929</v>
      </c>
      <c r="E31" s="344"/>
      <c r="F31" s="345" t="s">
        <v>2986</v>
      </c>
      <c r="G31" s="346"/>
      <c r="H31" s="346"/>
      <c r="I31" s="346"/>
      <c r="J31" s="346"/>
      <c r="K31" s="346"/>
      <c r="L31" s="347"/>
      <c r="N31" s="56"/>
      <c r="P31" s="50" t="s">
        <v>1283</v>
      </c>
      <c r="Q31" s="51">
        <f>INT(VALUE(C19))</f>
        <v>3</v>
      </c>
    </row>
    <row r="32" spans="1:17" ht="4.5" customHeight="1">
      <c r="A32" s="152"/>
      <c r="B32" s="152"/>
      <c r="C32" s="56"/>
      <c r="D32" s="56"/>
      <c r="E32" s="56"/>
      <c r="F32" s="56"/>
      <c r="G32" s="56"/>
      <c r="H32" s="56"/>
      <c r="I32" s="56"/>
      <c r="J32" s="56"/>
      <c r="K32" s="56"/>
      <c r="L32" s="56"/>
      <c r="M32" s="56"/>
      <c r="N32" s="56"/>
      <c r="Q32" s="51"/>
    </row>
    <row r="33" spans="1:17" ht="15" customHeight="1">
      <c r="A33" s="274" t="s">
        <v>303</v>
      </c>
      <c r="B33" s="275"/>
      <c r="C33" s="345" t="s">
        <v>2987</v>
      </c>
      <c r="D33" s="348"/>
      <c r="E33" s="348"/>
      <c r="F33" s="348"/>
      <c r="G33" s="348"/>
      <c r="H33" s="348"/>
      <c r="I33" s="348"/>
      <c r="J33" s="348"/>
      <c r="K33" s="348"/>
      <c r="L33" s="349"/>
      <c r="M33" s="56"/>
      <c r="N33" s="56"/>
      <c r="P33" s="50" t="s">
        <v>894</v>
      </c>
      <c r="Q33" s="51">
        <f>INT(VALUE(Skriveni!B21))</f>
        <v>4</v>
      </c>
    </row>
    <row r="34" spans="1:17" ht="4.5" customHeight="1">
      <c r="A34" s="152"/>
      <c r="B34" s="152"/>
      <c r="C34" s="56"/>
      <c r="D34" s="56"/>
      <c r="E34" s="56"/>
      <c r="F34" s="56"/>
      <c r="G34" s="56"/>
      <c r="H34" s="56"/>
      <c r="I34" s="56"/>
      <c r="J34" s="56"/>
      <c r="K34" s="56"/>
      <c r="L34" s="56"/>
      <c r="M34" s="56"/>
      <c r="N34" s="56"/>
      <c r="Q34" s="51"/>
    </row>
    <row r="35" spans="1:17" ht="15" customHeight="1">
      <c r="A35" s="274" t="s">
        <v>931</v>
      </c>
      <c r="B35" s="275"/>
      <c r="C35" s="276" t="s">
        <v>2989</v>
      </c>
      <c r="D35" s="277"/>
      <c r="E35" s="277"/>
      <c r="F35" s="277"/>
      <c r="G35" s="277"/>
      <c r="H35" s="277"/>
      <c r="I35" s="278"/>
      <c r="J35" s="275" t="s">
        <v>1750</v>
      </c>
      <c r="K35" s="296"/>
      <c r="L35" s="282" t="s">
        <v>2991</v>
      </c>
      <c r="M35" s="283"/>
      <c r="N35" s="284"/>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4" t="s">
        <v>2047</v>
      </c>
      <c r="B37" s="275"/>
      <c r="C37" s="351" t="s">
        <v>2990</v>
      </c>
      <c r="D37" s="352"/>
      <c r="E37" s="352"/>
      <c r="F37" s="352"/>
      <c r="G37" s="352"/>
      <c r="H37" s="352"/>
      <c r="I37" s="353"/>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4" t="s">
        <v>1976</v>
      </c>
      <c r="B39" s="275"/>
      <c r="C39" s="36">
        <v>429</v>
      </c>
      <c r="D39" s="358" t="str">
        <f>IF(C39="","Upišite šifru grada/općine",IF(ISNA(LOOKUP(C39,A177:A732,A177:A732)),"Šifra grada/općine ne postoji",IF(LOOKUP(C39,A177:A732,A177:A732)&lt;&gt;C39,"Šifra grada/općine ne postoji",LOOKUP(C39,A177:A732,B177:B732))))</f>
        <v>Sveti Ivan Zelina</v>
      </c>
      <c r="E39" s="359"/>
      <c r="F39" s="359"/>
      <c r="G39" s="359"/>
      <c r="H39" s="279" t="s">
        <v>2109</v>
      </c>
      <c r="I39" s="280"/>
      <c r="J39" s="54">
        <f>IF(C39&gt;0,LOOKUP(C39,A177:A732,C177:C732),"")</f>
        <v>1</v>
      </c>
      <c r="K39" s="350" t="str">
        <f>IF(J39="","Upišite šifru grada/općine",LOOKUP(J39,A153:A173,B153:B173))</f>
        <v>ZAGREBAČKA</v>
      </c>
      <c r="L39" s="350"/>
      <c r="M39" s="350"/>
      <c r="N39" s="350"/>
      <c r="P39" s="50" t="s">
        <v>896</v>
      </c>
      <c r="Q39" s="51">
        <f>C56+2*F56+3*C58+4*F58</f>
        <v>0</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4" t="s">
        <v>2750</v>
      </c>
      <c r="B42" s="275"/>
      <c r="C42" s="37" t="s">
        <v>954</v>
      </c>
      <c r="D42" s="356" t="str">
        <f>IF(C42="","Upišite šifru razreda glavne djelatnosti",IF(ISNA(LOOKUP(C42,A736:A1351,A736:A1351)),"Šifra NKD-a ne postoji",IF(LOOKUP(C42,A736:A1351,A736:A1351)&lt;&gt;C42,"Šifra NKD-a ne postoji",LOOKUP(C42,A736:A1351,B736:B1351))))</f>
        <v>Ostale zabavne i rekreacijske djelatno...</v>
      </c>
      <c r="E42" s="293"/>
      <c r="F42" s="293"/>
      <c r="G42" s="357"/>
      <c r="H42" s="293"/>
      <c r="I42" s="293"/>
      <c r="J42" s="293"/>
      <c r="K42" s="293"/>
      <c r="L42" s="293"/>
      <c r="M42" s="293"/>
      <c r="N42" s="293"/>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4" t="s">
        <v>1975</v>
      </c>
      <c r="B44" s="275"/>
      <c r="C44" s="38">
        <v>1</v>
      </c>
      <c r="D44" s="35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81"/>
      <c r="F44" s="381"/>
      <c r="G44" s="381"/>
      <c r="H44" s="381"/>
      <c r="I44" s="381"/>
      <c r="J44" s="381"/>
      <c r="K44" s="381"/>
      <c r="L44" s="381"/>
      <c r="M44" s="381"/>
      <c r="N44" s="381"/>
      <c r="P44" s="50" t="s">
        <v>1299</v>
      </c>
      <c r="Q44" s="51">
        <f>LEN(Skriveni!B43)</f>
        <v>12</v>
      </c>
    </row>
    <row r="45" spans="1:17" ht="4.5" customHeight="1">
      <c r="A45" s="10"/>
      <c r="B45" s="43"/>
      <c r="C45" s="56"/>
      <c r="D45" s="179"/>
      <c r="E45" s="180"/>
      <c r="F45" s="180"/>
      <c r="G45" s="180"/>
      <c r="H45" s="29"/>
      <c r="I45" s="181"/>
      <c r="J45" s="181"/>
      <c r="K45" s="181"/>
      <c r="L45" s="181"/>
      <c r="M45" s="181"/>
      <c r="N45" s="182"/>
      <c r="Q45" s="51"/>
    </row>
    <row r="46" spans="1:17" ht="15" customHeight="1">
      <c r="A46" s="279" t="s">
        <v>2540</v>
      </c>
      <c r="B46" s="370"/>
      <c r="C46" s="39"/>
      <c r="D46" s="382">
        <f>IF(C46="","",IF(ISNA(LOOKUP(C46,A1355:A1603,A1355:A1603)),"Šifra države nepostojeća",IF(LOOKUP(C46,A1355:A1603,A1355:A1603)&lt;&gt;C46,"Šifra države nepostojeća",LOOKUP(C46,A1355:A1603,B1355:B1603))))</f>
      </c>
      <c r="E46" s="383"/>
      <c r="F46" s="383"/>
      <c r="G46" s="383"/>
      <c r="H46" s="383"/>
      <c r="I46" s="383"/>
      <c r="J46" s="370" t="s">
        <v>2539</v>
      </c>
      <c r="K46" s="281"/>
      <c r="L46" s="281"/>
      <c r="M46" s="282"/>
      <c r="N46" s="316"/>
      <c r="P46" s="52" t="s">
        <v>898</v>
      </c>
      <c r="Q46" s="53">
        <f>INT(VALUE(L21))/100</f>
        <v>0</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4" t="s">
        <v>1315</v>
      </c>
      <c r="B50" s="275"/>
      <c r="C50" s="39">
        <v>1</v>
      </c>
      <c r="D50" s="379" t="str">
        <f>IF(C50="","Upišite oznaku veličine",IF(ISNA(LOOKUP(C50,A124:A127,A124:A127)),"Nepostojeća oznaka veličine",IF(LOOKUP(C50,A124:A127,A124:A127)&lt;&gt;C50,"Nepostojeća oznaka veličine",LOOKUP(C50,A124:A127,B124:B127))))</f>
        <v>Mikro poduzetnik</v>
      </c>
      <c r="E50" s="380"/>
      <c r="F50" s="380"/>
      <c r="G50" s="380"/>
      <c r="H50" s="380"/>
      <c r="I50" s="360" t="s">
        <v>2976</v>
      </c>
      <c r="J50" s="361"/>
      <c r="K50" s="361"/>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4" t="s">
        <v>1653</v>
      </c>
      <c r="B52" s="275"/>
      <c r="C52" s="39">
        <v>11</v>
      </c>
      <c r="D52" s="379" t="str">
        <f>IF(C52="","Upišite oznaku vlasništva",IF(ISNA(LOOKUP(C52,A80:A87,A80:A87)),"Nepostojeća oznaka vlasništva",IF(LOOKUP(C52,A80:A87,A80:A87)&lt;&gt;C52,"Nepostojeća oznaka vlasništva",LOOKUP(C52,A80:A87,B80:B87))))</f>
        <v>Državno vlasništvo (javno, komunalno i slično)</v>
      </c>
      <c r="E52" s="380"/>
      <c r="F52" s="380"/>
      <c r="G52" s="380"/>
      <c r="H52" s="384"/>
      <c r="I52" s="5" t="str">
        <f>IF(OR(Bilanca!Q1=1,RDG!Q1=1,N6="NE"),"DA","NE")</f>
        <v>DA</v>
      </c>
      <c r="J52" s="363" t="s">
        <v>989</v>
      </c>
      <c r="K52" s="339"/>
      <c r="L52" s="339"/>
      <c r="M52" s="339"/>
      <c r="N52" s="339"/>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4" t="s">
        <v>1990</v>
      </c>
      <c r="B54" s="275"/>
      <c r="C54" s="36">
        <v>100</v>
      </c>
      <c r="D54" s="55" t="s">
        <v>1991</v>
      </c>
      <c r="F54" s="36">
        <v>0</v>
      </c>
      <c r="G54" s="55" t="s">
        <v>1992</v>
      </c>
      <c r="H54" s="56"/>
      <c r="I54" s="5" t="str">
        <f>IF(OR(Dodatni!Q1=1,AND(N6="NE",C19&lt;&gt;2)),"DA","NE")</f>
        <v>DA</v>
      </c>
      <c r="J54" s="363" t="s">
        <v>820</v>
      </c>
      <c r="K54" s="339"/>
      <c r="L54" s="339"/>
      <c r="M54" s="339"/>
      <c r="N54" s="339"/>
      <c r="O54" s="182"/>
      <c r="P54" s="50" t="s">
        <v>2969</v>
      </c>
      <c r="Q54" s="50">
        <f>C44/10</f>
        <v>0.1</v>
      </c>
    </row>
    <row r="55" spans="1:15" ht="4.5" customHeight="1">
      <c r="A55" s="279" t="s">
        <v>2053</v>
      </c>
      <c r="B55" s="281"/>
      <c r="D55" s="57"/>
      <c r="F55" s="58"/>
      <c r="G55" s="58"/>
      <c r="H55" s="58"/>
      <c r="I55" s="58"/>
      <c r="J55" s="184"/>
      <c r="K55" s="184"/>
      <c r="L55" s="184"/>
      <c r="M55" s="184"/>
      <c r="N55" s="184"/>
      <c r="O55" s="182"/>
    </row>
    <row r="56" spans="1:17" ht="15" customHeight="1">
      <c r="A56" s="281"/>
      <c r="B56" s="281"/>
      <c r="C56" s="40">
        <v>0</v>
      </c>
      <c r="D56" s="272" t="s">
        <v>2653</v>
      </c>
      <c r="E56" s="362"/>
      <c r="F56" s="40">
        <v>0</v>
      </c>
      <c r="G56" s="272" t="s">
        <v>2654</v>
      </c>
      <c r="H56" s="273"/>
      <c r="I56" s="218" t="s">
        <v>1587</v>
      </c>
      <c r="J56" s="355" t="s">
        <v>1615</v>
      </c>
      <c r="K56" s="339"/>
      <c r="L56" s="339"/>
      <c r="M56" s="339"/>
      <c r="N56" s="339"/>
      <c r="O56" s="182"/>
      <c r="P56" s="50" t="s">
        <v>2277</v>
      </c>
      <c r="Q56" s="50">
        <f>C46/20</f>
        <v>0</v>
      </c>
    </row>
    <row r="57" spans="1:15" ht="4.5" customHeight="1">
      <c r="A57" s="281"/>
      <c r="B57" s="281"/>
      <c r="G57" s="59"/>
      <c r="H57" s="59"/>
      <c r="I57" s="58"/>
      <c r="J57" s="184"/>
      <c r="K57" s="184"/>
      <c r="L57" s="184"/>
      <c r="M57" s="184"/>
      <c r="N57" s="184"/>
      <c r="O57" s="182"/>
    </row>
    <row r="58" spans="1:17" ht="15" customHeight="1">
      <c r="A58" s="377" t="s">
        <v>2112</v>
      </c>
      <c r="B58" s="378"/>
      <c r="C58" s="40">
        <v>0</v>
      </c>
      <c r="D58" s="354" t="s">
        <v>2653</v>
      </c>
      <c r="E58" s="354"/>
      <c r="F58" s="40">
        <v>0</v>
      </c>
      <c r="G58" s="354" t="s">
        <v>2654</v>
      </c>
      <c r="H58" s="354"/>
      <c r="I58" s="5" t="str">
        <f>IF(OR(NT_I!Q1&lt;&gt;0,NT_D!Q1&lt;&gt;0),"DA","NE")</f>
        <v>NE</v>
      </c>
      <c r="J58" s="363" t="s">
        <v>1101</v>
      </c>
      <c r="K58" s="339"/>
      <c r="L58" s="339"/>
      <c r="M58" s="339"/>
      <c r="N58" s="339"/>
      <c r="O58" s="182"/>
      <c r="P58" s="50" t="s">
        <v>2278</v>
      </c>
      <c r="Q58" s="50">
        <f>IF(ISERROR(INT(M46)),LEN(TRIM(M46)),INT(M46)/100)</f>
        <v>0</v>
      </c>
    </row>
    <row r="59" spans="1:15" ht="4.5" customHeight="1">
      <c r="A59" s="377"/>
      <c r="B59" s="377"/>
      <c r="G59" s="60"/>
      <c r="H59" s="60"/>
      <c r="I59" s="185"/>
      <c r="J59" s="184"/>
      <c r="K59" s="184"/>
      <c r="L59" s="184"/>
      <c r="M59" s="184"/>
      <c r="N59" s="184"/>
      <c r="O59" s="182"/>
    </row>
    <row r="60" spans="1:17" ht="15" customHeight="1">
      <c r="A60" s="279" t="s">
        <v>1579</v>
      </c>
      <c r="B60" s="370"/>
      <c r="C60" s="40">
        <v>12</v>
      </c>
      <c r="D60" s="354" t="s">
        <v>2653</v>
      </c>
      <c r="E60" s="354"/>
      <c r="F60" s="40">
        <v>12</v>
      </c>
      <c r="G60" s="354" t="s">
        <v>2654</v>
      </c>
      <c r="H60" s="354"/>
      <c r="I60" s="219" t="str">
        <f>IF(PK!AC1=1,"DA","NE")</f>
        <v>NE</v>
      </c>
      <c r="J60" s="339" t="s">
        <v>158</v>
      </c>
      <c r="K60" s="339"/>
      <c r="L60" s="339"/>
      <c r="M60" s="339"/>
      <c r="N60" s="339"/>
      <c r="O60" s="182"/>
      <c r="P60" s="50" t="s">
        <v>917</v>
      </c>
      <c r="Q60" s="50">
        <f>C23/50</f>
        <v>0.02</v>
      </c>
    </row>
    <row r="61" spans="1:15" ht="9.75" customHeight="1" thickBot="1">
      <c r="A61" s="152"/>
      <c r="B61" s="152"/>
      <c r="I61" s="56"/>
      <c r="J61" s="184"/>
      <c r="K61" s="184"/>
      <c r="L61" s="184"/>
      <c r="M61" s="184"/>
      <c r="N61" s="184"/>
      <c r="O61" s="182"/>
    </row>
    <row r="62" spans="1:15" ht="15" customHeight="1">
      <c r="A62" s="367" t="s">
        <v>764</v>
      </c>
      <c r="B62" s="368"/>
      <c r="C62" s="368"/>
      <c r="D62" s="186"/>
      <c r="I62" s="218" t="s">
        <v>1237</v>
      </c>
      <c r="J62" s="355" t="s">
        <v>1317</v>
      </c>
      <c r="K62" s="339"/>
      <c r="L62" s="339"/>
      <c r="M62" s="339"/>
      <c r="N62" s="339"/>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371" t="s">
        <v>1994</v>
      </c>
      <c r="D64" s="314"/>
      <c r="E64" s="314"/>
      <c r="F64" s="314"/>
      <c r="G64" s="152"/>
      <c r="H64" s="152"/>
      <c r="I64" s="218" t="s">
        <v>1237</v>
      </c>
      <c r="J64" s="355" t="s">
        <v>1318</v>
      </c>
      <c r="K64" s="339"/>
      <c r="L64" s="339"/>
      <c r="M64" s="339"/>
      <c r="N64" s="339"/>
      <c r="O64" s="182"/>
    </row>
    <row r="65" spans="1:15" ht="4.5" customHeight="1">
      <c r="A65" s="162"/>
      <c r="B65" s="162"/>
      <c r="G65" s="152"/>
      <c r="H65" s="152"/>
      <c r="I65" s="56"/>
      <c r="J65" s="184"/>
      <c r="K65" s="184"/>
      <c r="L65" s="184"/>
      <c r="M65" s="184"/>
      <c r="N65" s="184"/>
      <c r="O65" s="182"/>
    </row>
    <row r="66" spans="1:15" ht="15" customHeight="1">
      <c r="A66" s="41" t="s">
        <v>2111</v>
      </c>
      <c r="B66" s="369"/>
      <c r="C66" s="352"/>
      <c r="D66" s="352"/>
      <c r="E66" s="352"/>
      <c r="F66" s="352"/>
      <c r="G66" s="353"/>
      <c r="H66" s="187"/>
      <c r="I66" s="218" t="s">
        <v>1587</v>
      </c>
      <c r="J66" s="339" t="s">
        <v>1581</v>
      </c>
      <c r="K66" s="339"/>
      <c r="L66" s="339"/>
      <c r="M66" s="339"/>
      <c r="N66" s="339"/>
      <c r="O66" s="182"/>
    </row>
    <row r="67" spans="3:15" ht="10.5" customHeight="1">
      <c r="C67" s="366"/>
      <c r="D67" s="364"/>
      <c r="E67" s="364"/>
      <c r="F67" s="364"/>
      <c r="G67" s="364"/>
      <c r="H67" s="365"/>
      <c r="I67" s="56"/>
      <c r="J67" s="340"/>
      <c r="K67" s="340"/>
      <c r="L67" s="340"/>
      <c r="M67" s="340"/>
      <c r="N67" s="340"/>
      <c r="O67" s="182"/>
    </row>
    <row r="68" spans="1:15" ht="15" customHeight="1">
      <c r="A68" s="279" t="s">
        <v>1580</v>
      </c>
      <c r="B68" s="333"/>
      <c r="C68" s="345" t="s">
        <v>2992</v>
      </c>
      <c r="D68" s="298"/>
      <c r="E68" s="298"/>
      <c r="F68" s="298"/>
      <c r="G68" s="299"/>
      <c r="H68" s="187"/>
      <c r="I68" s="218" t="s">
        <v>1587</v>
      </c>
      <c r="J68" s="339" t="s">
        <v>2975</v>
      </c>
      <c r="K68" s="339"/>
      <c r="L68" s="339"/>
      <c r="M68" s="339"/>
      <c r="N68" s="339"/>
      <c r="O68" s="30"/>
    </row>
    <row r="69" spans="3:15" ht="9.75" customHeight="1">
      <c r="C69" s="336" t="s">
        <v>932</v>
      </c>
      <c r="D69" s="364"/>
      <c r="E69" s="364"/>
      <c r="F69" s="364"/>
      <c r="G69" s="364"/>
      <c r="H69" s="365"/>
      <c r="I69" s="56"/>
      <c r="J69" s="340"/>
      <c r="K69" s="340"/>
      <c r="L69" s="340"/>
      <c r="M69" s="340"/>
      <c r="N69" s="340"/>
      <c r="O69" s="30"/>
    </row>
    <row r="70" spans="1:15" ht="15" customHeight="1">
      <c r="A70" s="279" t="s">
        <v>1993</v>
      </c>
      <c r="B70" s="333"/>
      <c r="C70" s="297" t="s">
        <v>2991</v>
      </c>
      <c r="D70" s="334"/>
      <c r="E70" s="335"/>
      <c r="F70" s="56"/>
      <c r="G70" s="152"/>
      <c r="H70" s="152"/>
      <c r="I70" s="152"/>
      <c r="J70" s="152"/>
      <c r="K70" s="152"/>
      <c r="L70" s="152"/>
      <c r="M70" s="152"/>
      <c r="N70" s="56"/>
      <c r="O70" s="30"/>
    </row>
    <row r="71" spans="1:14" ht="9.75" customHeight="1">
      <c r="A71" s="152"/>
      <c r="B71" s="152"/>
      <c r="C71" s="342" t="s">
        <v>1703</v>
      </c>
      <c r="D71" s="314"/>
      <c r="E71" s="314"/>
      <c r="F71" s="314"/>
      <c r="G71" s="314"/>
      <c r="H71" s="314"/>
      <c r="I71" s="152"/>
      <c r="J71" s="152"/>
      <c r="K71" s="152"/>
      <c r="L71" s="152"/>
      <c r="M71" s="152"/>
      <c r="N71" s="56"/>
    </row>
    <row r="72" spans="1:14" ht="15" customHeight="1">
      <c r="A72" s="279" t="s">
        <v>1657</v>
      </c>
      <c r="B72" s="333"/>
      <c r="C72" s="341" t="s">
        <v>2993</v>
      </c>
      <c r="D72" s="298"/>
      <c r="E72" s="298"/>
      <c r="F72" s="298"/>
      <c r="G72" s="298"/>
      <c r="H72" s="299"/>
      <c r="I72" s="152"/>
      <c r="J72" s="152"/>
      <c r="K72" s="152"/>
      <c r="N72" s="11" t="str">
        <f>"Verzija Excel datoteke: "&amp;MID(Skriveni!B4,1,1)&amp;"."&amp;MID(Skriveni!B4,2,1)&amp;"."&amp;MID(Skriveni!B4,3,1)&amp;"."</f>
        <v>Verzija Excel datoteke: 4.0.2.</v>
      </c>
    </row>
    <row r="73" spans="1:14" ht="9.75" customHeight="1">
      <c r="A73" s="22"/>
      <c r="B73" s="22"/>
      <c r="C73" s="336" t="s">
        <v>2365</v>
      </c>
      <c r="D73" s="336"/>
      <c r="E73" s="336"/>
      <c r="F73" s="336"/>
      <c r="G73" s="336"/>
      <c r="H73" s="336"/>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297" t="s">
        <v>2994</v>
      </c>
      <c r="B75" s="298"/>
      <c r="C75" s="298"/>
      <c r="D75" s="298"/>
      <c r="E75" s="299"/>
      <c r="I75" s="152"/>
      <c r="J75" s="152"/>
      <c r="K75" s="152"/>
      <c r="L75" s="152"/>
      <c r="M75" s="152"/>
      <c r="N75" s="152"/>
    </row>
    <row r="76" spans="1:14" ht="9.75" customHeight="1">
      <c r="A76" s="337" t="s">
        <v>961</v>
      </c>
      <c r="B76" s="338"/>
      <c r="C76" s="338"/>
      <c r="D76" s="338"/>
      <c r="E76" s="338"/>
      <c r="I76" s="152"/>
      <c r="J76" s="331" t="s">
        <v>962</v>
      </c>
      <c r="K76" s="332"/>
      <c r="L76" s="332"/>
      <c r="M76" s="332"/>
      <c r="N76" s="332"/>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A58:B59"/>
    <mergeCell ref="D50:H50"/>
    <mergeCell ref="A50:B50"/>
    <mergeCell ref="D44:N44"/>
    <mergeCell ref="J46:L47"/>
    <mergeCell ref="D46:I46"/>
    <mergeCell ref="J58:N58"/>
    <mergeCell ref="D52:H52"/>
    <mergeCell ref="A46:B47"/>
    <mergeCell ref="J52:N52"/>
    <mergeCell ref="C27:E27"/>
    <mergeCell ref="A19:B19"/>
    <mergeCell ref="A44:B44"/>
    <mergeCell ref="A21:B21"/>
    <mergeCell ref="A29:B29"/>
    <mergeCell ref="A31:B31"/>
    <mergeCell ref="A42:B42"/>
    <mergeCell ref="A23:B24"/>
    <mergeCell ref="A27:B27"/>
    <mergeCell ref="A35:B35"/>
    <mergeCell ref="A62:C62"/>
    <mergeCell ref="B66:G66"/>
    <mergeCell ref="A60:B60"/>
    <mergeCell ref="C64:F64"/>
    <mergeCell ref="D23:N24"/>
    <mergeCell ref="C29:L29"/>
    <mergeCell ref="M27:N27"/>
    <mergeCell ref="J27:L27"/>
    <mergeCell ref="F27:G27"/>
    <mergeCell ref="H27:I27"/>
    <mergeCell ref="J54:N54"/>
    <mergeCell ref="J56:N56"/>
    <mergeCell ref="J64:N64"/>
    <mergeCell ref="J66:N67"/>
    <mergeCell ref="J60:N60"/>
    <mergeCell ref="C69:H69"/>
    <mergeCell ref="C67:H67"/>
    <mergeCell ref="D60:E60"/>
    <mergeCell ref="G60:H60"/>
    <mergeCell ref="C68:G68"/>
    <mergeCell ref="D58:E58"/>
    <mergeCell ref="J62:N62"/>
    <mergeCell ref="J35:K35"/>
    <mergeCell ref="J28:N28"/>
    <mergeCell ref="L35:N35"/>
    <mergeCell ref="D42:N42"/>
    <mergeCell ref="D39:G39"/>
    <mergeCell ref="I50:K50"/>
    <mergeCell ref="G58:H58"/>
    <mergeCell ref="D56:E56"/>
    <mergeCell ref="A33:B33"/>
    <mergeCell ref="D31:E31"/>
    <mergeCell ref="F31:L31"/>
    <mergeCell ref="C33:L33"/>
    <mergeCell ref="K39:N39"/>
    <mergeCell ref="C37:I37"/>
    <mergeCell ref="J76:N76"/>
    <mergeCell ref="A68:B68"/>
    <mergeCell ref="A70:B70"/>
    <mergeCell ref="C70:E70"/>
    <mergeCell ref="A72:B72"/>
    <mergeCell ref="C73:H73"/>
    <mergeCell ref="A76:E76"/>
    <mergeCell ref="J68:N69"/>
    <mergeCell ref="C72:H72"/>
    <mergeCell ref="C71:H71"/>
    <mergeCell ref="F4:G4"/>
    <mergeCell ref="A2:N2"/>
    <mergeCell ref="A7:B7"/>
    <mergeCell ref="A4:B4"/>
    <mergeCell ref="H4:N4"/>
    <mergeCell ref="D7:N7"/>
    <mergeCell ref="A3:N3"/>
    <mergeCell ref="C4:D4"/>
    <mergeCell ref="A75:E75"/>
    <mergeCell ref="K10:N10"/>
    <mergeCell ref="A10:B10"/>
    <mergeCell ref="H12:J12"/>
    <mergeCell ref="A15:C15"/>
    <mergeCell ref="J14:N14"/>
    <mergeCell ref="F12:G12"/>
    <mergeCell ref="E21:H21"/>
    <mergeCell ref="M46:N46"/>
    <mergeCell ref="F28:I28"/>
    <mergeCell ref="L21:N21"/>
    <mergeCell ref="A11:N11"/>
    <mergeCell ref="F14:H14"/>
    <mergeCell ref="A17:B17"/>
    <mergeCell ref="A14:C14"/>
    <mergeCell ref="J21:K21"/>
    <mergeCell ref="D19:H20"/>
    <mergeCell ref="D17:N18"/>
    <mergeCell ref="I19:M19"/>
    <mergeCell ref="G56:H56"/>
    <mergeCell ref="A37:B37"/>
    <mergeCell ref="C35:I35"/>
    <mergeCell ref="A39:B39"/>
    <mergeCell ref="H39:I39"/>
    <mergeCell ref="A52:B52"/>
    <mergeCell ref="A54:B54"/>
    <mergeCell ref="A55:B57"/>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7"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2" activePane="bottomLeft" state="frozen"/>
      <selection pane="topLeft" activeCell="A1" sqref="A1"/>
      <selection pane="bottomLeft" activeCell="J73" sqref="J7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4" t="s">
        <v>319</v>
      </c>
      <c r="B2" s="395"/>
      <c r="C2" s="395"/>
      <c r="D2" s="395"/>
      <c r="E2" s="395"/>
      <c r="F2" s="395"/>
      <c r="G2" s="395"/>
      <c r="H2" s="395"/>
      <c r="I2" s="396"/>
      <c r="J2" s="392" t="s">
        <v>1208</v>
      </c>
      <c r="Q2" s="70">
        <f>IF(OR(MIN(I9:I135)&lt;0,MAX(I9:I135)&gt;0),1,0)</f>
        <v>1</v>
      </c>
      <c r="R2" s="69" t="s">
        <v>1204</v>
      </c>
    </row>
    <row r="3" spans="1:18" ht="19.5" customHeight="1" thickBot="1">
      <c r="A3" s="397" t="str">
        <f>"stanje na dan "&amp;IF(RefStr!F4&lt;&gt;"",TEXT(RefStr!F4,"DD.MM.YYYY."),"__.__.____.")</f>
        <v>stanje na dan 31.12.2021.</v>
      </c>
      <c r="B3" s="398"/>
      <c r="C3" s="398"/>
      <c r="D3" s="398"/>
      <c r="E3" s="398"/>
      <c r="F3" s="398"/>
      <c r="G3" s="398"/>
      <c r="H3" s="398"/>
      <c r="I3" s="399"/>
      <c r="J3" s="393"/>
      <c r="Q3" s="70">
        <f>IF(OR(MIN(J9:J135)&lt;0,MAX(J9:J135)&gt;0),1,0)</f>
        <v>1</v>
      </c>
      <c r="R3" s="69" t="s">
        <v>1205</v>
      </c>
    </row>
    <row r="4" spans="1:10" ht="4.5" customHeight="1">
      <c r="A4" s="236"/>
      <c r="B4" s="72"/>
      <c r="C4" s="72"/>
      <c r="D4" s="72"/>
      <c r="E4" s="72"/>
      <c r="F4" s="72"/>
      <c r="G4" s="72"/>
      <c r="H4" s="72"/>
      <c r="I4" s="72"/>
      <c r="J4" s="71"/>
    </row>
    <row r="5" spans="1:18" ht="15" customHeight="1">
      <c r="A5" s="400" t="str">
        <f>"Obveznik: "&amp;IF(RefStr!C27&lt;&gt;"",RefStr!C27,"________")&amp;"; "&amp;IF(RefStr!C29&lt;&gt;"",RefStr!C29,"________________________________________________________"&amp;"; "&amp;IF(RefStr!F31&lt;&gt;"",RefStr!F31,"_______________"))</f>
        <v>Obveznik: 34347571917; AQUAPARK ZELINA D.O.O.</v>
      </c>
      <c r="B5" s="401"/>
      <c r="C5" s="401"/>
      <c r="D5" s="401"/>
      <c r="E5" s="401"/>
      <c r="F5" s="401"/>
      <c r="G5" s="401"/>
      <c r="H5" s="401"/>
      <c r="I5" s="401"/>
      <c r="J5" s="402"/>
      <c r="Q5" s="2">
        <f>IF(I98&lt;&gt;0,1,0)</f>
        <v>0</v>
      </c>
      <c r="R5" s="69" t="s">
        <v>1206</v>
      </c>
    </row>
    <row r="6" spans="1:18" ht="24.75" customHeight="1" thickBot="1">
      <c r="A6" s="403" t="s">
        <v>955</v>
      </c>
      <c r="B6" s="404"/>
      <c r="C6" s="404"/>
      <c r="D6" s="404"/>
      <c r="E6" s="404"/>
      <c r="F6" s="404"/>
      <c r="G6" s="98" t="s">
        <v>633</v>
      </c>
      <c r="H6" s="98" t="s">
        <v>2275</v>
      </c>
      <c r="I6" s="98" t="s">
        <v>407</v>
      </c>
      <c r="J6" s="99" t="s">
        <v>408</v>
      </c>
      <c r="Q6" s="2">
        <f>IF(J98&lt;&gt;0,1,0)</f>
        <v>0</v>
      </c>
      <c r="R6" s="69" t="s">
        <v>1207</v>
      </c>
    </row>
    <row r="7" spans="1:10" ht="13.5" customHeight="1">
      <c r="A7" s="405">
        <v>1</v>
      </c>
      <c r="B7" s="406"/>
      <c r="C7" s="406"/>
      <c r="D7" s="406"/>
      <c r="E7" s="406"/>
      <c r="F7" s="406"/>
      <c r="G7" s="101">
        <v>2</v>
      </c>
      <c r="H7" s="101">
        <v>3</v>
      </c>
      <c r="I7" s="100">
        <v>4</v>
      </c>
      <c r="J7" s="102">
        <v>5</v>
      </c>
    </row>
    <row r="8" spans="1:10" ht="13.5" customHeight="1">
      <c r="A8" s="388" t="s">
        <v>957</v>
      </c>
      <c r="B8" s="391"/>
      <c r="C8" s="391"/>
      <c r="D8" s="391"/>
      <c r="E8" s="391"/>
      <c r="F8" s="391"/>
      <c r="G8" s="391"/>
      <c r="H8" s="391"/>
      <c r="I8" s="391"/>
      <c r="J8" s="391"/>
    </row>
    <row r="9" spans="1:15" ht="13.5" customHeight="1">
      <c r="A9" s="385" t="s">
        <v>958</v>
      </c>
      <c r="B9" s="385"/>
      <c r="C9" s="385"/>
      <c r="D9" s="385"/>
      <c r="E9" s="385"/>
      <c r="F9" s="385"/>
      <c r="G9" s="15">
        <v>1</v>
      </c>
      <c r="H9" s="16"/>
      <c r="I9" s="67"/>
      <c r="J9" s="67"/>
      <c r="O9" s="70"/>
    </row>
    <row r="10" spans="1:10" ht="13.5" customHeight="1">
      <c r="A10" s="385" t="s">
        <v>903</v>
      </c>
      <c r="B10" s="385"/>
      <c r="C10" s="385"/>
      <c r="D10" s="385"/>
      <c r="E10" s="385"/>
      <c r="F10" s="385"/>
      <c r="G10" s="15">
        <v>2</v>
      </c>
      <c r="H10" s="16"/>
      <c r="I10" s="66">
        <f>I11+I18+I28+I39+I44</f>
        <v>0</v>
      </c>
      <c r="J10" s="66">
        <f>J11+J18+J28+J39+J44</f>
        <v>0</v>
      </c>
    </row>
    <row r="11" spans="1:10" ht="13.5" customHeight="1">
      <c r="A11" s="390" t="s">
        <v>904</v>
      </c>
      <c r="B11" s="390"/>
      <c r="C11" s="390"/>
      <c r="D11" s="390"/>
      <c r="E11" s="390"/>
      <c r="F11" s="390"/>
      <c r="G11" s="15">
        <v>3</v>
      </c>
      <c r="H11" s="16"/>
      <c r="I11" s="66">
        <f>SUM(I12:I17)</f>
        <v>0</v>
      </c>
      <c r="J11" s="66">
        <f>SUM(J12:J17)</f>
        <v>0</v>
      </c>
    </row>
    <row r="12" spans="1:10" ht="13.5" customHeight="1">
      <c r="A12" s="387" t="s">
        <v>1887</v>
      </c>
      <c r="B12" s="387"/>
      <c r="C12" s="387"/>
      <c r="D12" s="387"/>
      <c r="E12" s="387"/>
      <c r="F12" s="387"/>
      <c r="G12" s="15">
        <v>4</v>
      </c>
      <c r="H12" s="16"/>
      <c r="I12" s="67"/>
      <c r="J12" s="67"/>
    </row>
    <row r="13" spans="1:10" ht="24.75" customHeight="1">
      <c r="A13" s="387" t="s">
        <v>880</v>
      </c>
      <c r="B13" s="387"/>
      <c r="C13" s="387"/>
      <c r="D13" s="387"/>
      <c r="E13" s="387"/>
      <c r="F13" s="387"/>
      <c r="G13" s="15">
        <v>5</v>
      </c>
      <c r="H13" s="16"/>
      <c r="I13" s="67"/>
      <c r="J13" s="67"/>
    </row>
    <row r="14" spans="1:10" ht="13.5" customHeight="1">
      <c r="A14" s="387" t="s">
        <v>1888</v>
      </c>
      <c r="B14" s="387"/>
      <c r="C14" s="387"/>
      <c r="D14" s="387"/>
      <c r="E14" s="387"/>
      <c r="F14" s="387"/>
      <c r="G14" s="15">
        <v>6</v>
      </c>
      <c r="H14" s="16"/>
      <c r="I14" s="67"/>
      <c r="J14" s="67"/>
    </row>
    <row r="15" spans="1:10" ht="13.5" customHeight="1">
      <c r="A15" s="387" t="s">
        <v>1889</v>
      </c>
      <c r="B15" s="387"/>
      <c r="C15" s="387"/>
      <c r="D15" s="387"/>
      <c r="E15" s="387"/>
      <c r="F15" s="387"/>
      <c r="G15" s="15">
        <v>7</v>
      </c>
      <c r="H15" s="16"/>
      <c r="I15" s="67"/>
      <c r="J15" s="67"/>
    </row>
    <row r="16" spans="1:10" ht="13.5" customHeight="1">
      <c r="A16" s="387" t="s">
        <v>1890</v>
      </c>
      <c r="B16" s="387"/>
      <c r="C16" s="387"/>
      <c r="D16" s="387"/>
      <c r="E16" s="387"/>
      <c r="F16" s="387"/>
      <c r="G16" s="15">
        <v>8</v>
      </c>
      <c r="H16" s="16"/>
      <c r="I16" s="67"/>
      <c r="J16" s="67"/>
    </row>
    <row r="17" spans="1:10" ht="13.5" customHeight="1">
      <c r="A17" s="387" t="s">
        <v>1891</v>
      </c>
      <c r="B17" s="387"/>
      <c r="C17" s="387"/>
      <c r="D17" s="387"/>
      <c r="E17" s="387"/>
      <c r="F17" s="387"/>
      <c r="G17" s="15">
        <v>9</v>
      </c>
      <c r="H17" s="16"/>
      <c r="I17" s="67"/>
      <c r="J17" s="67"/>
    </row>
    <row r="18" spans="1:10" ht="13.5" customHeight="1">
      <c r="A18" s="390" t="s">
        <v>965</v>
      </c>
      <c r="B18" s="390"/>
      <c r="C18" s="390"/>
      <c r="D18" s="390"/>
      <c r="E18" s="390"/>
      <c r="F18" s="390"/>
      <c r="G18" s="15">
        <v>10</v>
      </c>
      <c r="H18" s="16"/>
      <c r="I18" s="66">
        <f>SUM(I19:I27)</f>
        <v>0</v>
      </c>
      <c r="J18" s="66">
        <f>SUM(J19:J27)</f>
        <v>0</v>
      </c>
    </row>
    <row r="19" spans="1:10" ht="13.5" customHeight="1">
      <c r="A19" s="387" t="s">
        <v>733</v>
      </c>
      <c r="B19" s="387"/>
      <c r="C19" s="387"/>
      <c r="D19" s="387"/>
      <c r="E19" s="387"/>
      <c r="F19" s="387"/>
      <c r="G19" s="15">
        <v>11</v>
      </c>
      <c r="H19" s="16"/>
      <c r="I19" s="67"/>
      <c r="J19" s="67"/>
    </row>
    <row r="20" spans="1:10" ht="13.5" customHeight="1">
      <c r="A20" s="387" t="s">
        <v>796</v>
      </c>
      <c r="B20" s="387"/>
      <c r="C20" s="387"/>
      <c r="D20" s="387"/>
      <c r="E20" s="387"/>
      <c r="F20" s="387"/>
      <c r="G20" s="15">
        <v>12</v>
      </c>
      <c r="H20" s="16"/>
      <c r="I20" s="67"/>
      <c r="J20" s="67"/>
    </row>
    <row r="21" spans="1:10" ht="13.5" customHeight="1">
      <c r="A21" s="387" t="s">
        <v>734</v>
      </c>
      <c r="B21" s="387"/>
      <c r="C21" s="387"/>
      <c r="D21" s="387"/>
      <c r="E21" s="387"/>
      <c r="F21" s="387"/>
      <c r="G21" s="15">
        <v>13</v>
      </c>
      <c r="H21" s="16"/>
      <c r="I21" s="67"/>
      <c r="J21" s="67"/>
    </row>
    <row r="22" spans="1:10" ht="13.5" customHeight="1">
      <c r="A22" s="387" t="s">
        <v>405</v>
      </c>
      <c r="B22" s="387"/>
      <c r="C22" s="387"/>
      <c r="D22" s="387"/>
      <c r="E22" s="387"/>
      <c r="F22" s="387"/>
      <c r="G22" s="15">
        <v>14</v>
      </c>
      <c r="H22" s="16"/>
      <c r="I22" s="67"/>
      <c r="J22" s="67"/>
    </row>
    <row r="23" spans="1:10" ht="13.5" customHeight="1">
      <c r="A23" s="387" t="s">
        <v>406</v>
      </c>
      <c r="B23" s="387"/>
      <c r="C23" s="387"/>
      <c r="D23" s="387"/>
      <c r="E23" s="387"/>
      <c r="F23" s="387"/>
      <c r="G23" s="15">
        <v>15</v>
      </c>
      <c r="H23" s="16"/>
      <c r="I23" s="67"/>
      <c r="J23" s="67"/>
    </row>
    <row r="24" spans="1:10" ht="13.5" customHeight="1">
      <c r="A24" s="387" t="s">
        <v>2691</v>
      </c>
      <c r="B24" s="387"/>
      <c r="C24" s="387"/>
      <c r="D24" s="387"/>
      <c r="E24" s="387"/>
      <c r="F24" s="387"/>
      <c r="G24" s="15">
        <v>16</v>
      </c>
      <c r="H24" s="16"/>
      <c r="I24" s="67"/>
      <c r="J24" s="67"/>
    </row>
    <row r="25" spans="1:10" ht="13.5" customHeight="1">
      <c r="A25" s="387" t="s">
        <v>2692</v>
      </c>
      <c r="B25" s="387"/>
      <c r="C25" s="387"/>
      <c r="D25" s="387"/>
      <c r="E25" s="387"/>
      <c r="F25" s="387"/>
      <c r="G25" s="15">
        <v>17</v>
      </c>
      <c r="H25" s="16"/>
      <c r="I25" s="67"/>
      <c r="J25" s="67"/>
    </row>
    <row r="26" spans="1:10" ht="13.5" customHeight="1">
      <c r="A26" s="387" t="s">
        <v>2693</v>
      </c>
      <c r="B26" s="387"/>
      <c r="C26" s="387"/>
      <c r="D26" s="387"/>
      <c r="E26" s="387"/>
      <c r="F26" s="387"/>
      <c r="G26" s="15">
        <v>18</v>
      </c>
      <c r="H26" s="16"/>
      <c r="I26" s="67"/>
      <c r="J26" s="67"/>
    </row>
    <row r="27" spans="1:10" ht="13.5" customHeight="1">
      <c r="A27" s="387" t="s">
        <v>2694</v>
      </c>
      <c r="B27" s="387"/>
      <c r="C27" s="387"/>
      <c r="D27" s="387"/>
      <c r="E27" s="387"/>
      <c r="F27" s="387"/>
      <c r="G27" s="15">
        <v>19</v>
      </c>
      <c r="H27" s="16"/>
      <c r="I27" s="67"/>
      <c r="J27" s="67"/>
    </row>
    <row r="28" spans="1:10" ht="13.5" customHeight="1">
      <c r="A28" s="390" t="s">
        <v>1261</v>
      </c>
      <c r="B28" s="390"/>
      <c r="C28" s="390"/>
      <c r="D28" s="390"/>
      <c r="E28" s="390"/>
      <c r="F28" s="390"/>
      <c r="G28" s="15">
        <v>20</v>
      </c>
      <c r="H28" s="16"/>
      <c r="I28" s="66">
        <f>SUM(I29:I38)</f>
        <v>0</v>
      </c>
      <c r="J28" s="66">
        <f>SUM(J29:J38)</f>
        <v>0</v>
      </c>
    </row>
    <row r="29" spans="1:10" ht="13.5" customHeight="1">
      <c r="A29" s="387" t="s">
        <v>705</v>
      </c>
      <c r="B29" s="387"/>
      <c r="C29" s="387"/>
      <c r="D29" s="387"/>
      <c r="E29" s="387"/>
      <c r="F29" s="387"/>
      <c r="G29" s="15">
        <v>21</v>
      </c>
      <c r="H29" s="16"/>
      <c r="I29" s="67"/>
      <c r="J29" s="67"/>
    </row>
    <row r="30" spans="1:10" ht="13.5" customHeight="1">
      <c r="A30" s="387" t="s">
        <v>706</v>
      </c>
      <c r="B30" s="387"/>
      <c r="C30" s="387"/>
      <c r="D30" s="387"/>
      <c r="E30" s="387"/>
      <c r="F30" s="387"/>
      <c r="G30" s="15">
        <v>22</v>
      </c>
      <c r="H30" s="16"/>
      <c r="I30" s="67"/>
      <c r="J30" s="67"/>
    </row>
    <row r="31" spans="1:10" ht="13.5" customHeight="1">
      <c r="A31" s="387" t="s">
        <v>707</v>
      </c>
      <c r="B31" s="387"/>
      <c r="C31" s="387"/>
      <c r="D31" s="387"/>
      <c r="E31" s="387"/>
      <c r="F31" s="387"/>
      <c r="G31" s="15">
        <v>23</v>
      </c>
      <c r="H31" s="16"/>
      <c r="I31" s="67"/>
      <c r="J31" s="67"/>
    </row>
    <row r="32" spans="1:10" ht="24.75" customHeight="1">
      <c r="A32" s="387" t="s">
        <v>881</v>
      </c>
      <c r="B32" s="387"/>
      <c r="C32" s="387"/>
      <c r="D32" s="387"/>
      <c r="E32" s="387"/>
      <c r="F32" s="387"/>
      <c r="G32" s="15">
        <v>24</v>
      </c>
      <c r="H32" s="16"/>
      <c r="I32" s="67"/>
      <c r="J32" s="67"/>
    </row>
    <row r="33" spans="1:10" ht="24.75" customHeight="1">
      <c r="A33" s="387" t="s">
        <v>882</v>
      </c>
      <c r="B33" s="387"/>
      <c r="C33" s="387"/>
      <c r="D33" s="387"/>
      <c r="E33" s="387"/>
      <c r="F33" s="387"/>
      <c r="G33" s="15">
        <v>25</v>
      </c>
      <c r="H33" s="16"/>
      <c r="I33" s="67"/>
      <c r="J33" s="67"/>
    </row>
    <row r="34" spans="1:10" ht="24.75" customHeight="1">
      <c r="A34" s="387" t="s">
        <v>1996</v>
      </c>
      <c r="B34" s="387"/>
      <c r="C34" s="387"/>
      <c r="D34" s="387"/>
      <c r="E34" s="387"/>
      <c r="F34" s="387"/>
      <c r="G34" s="15">
        <v>26</v>
      </c>
      <c r="H34" s="16"/>
      <c r="I34" s="67"/>
      <c r="J34" s="67"/>
    </row>
    <row r="35" spans="1:10" ht="13.5" customHeight="1">
      <c r="A35" s="387" t="s">
        <v>708</v>
      </c>
      <c r="B35" s="387"/>
      <c r="C35" s="387"/>
      <c r="D35" s="387"/>
      <c r="E35" s="387"/>
      <c r="F35" s="387"/>
      <c r="G35" s="15">
        <v>27</v>
      </c>
      <c r="H35" s="16"/>
      <c r="I35" s="67"/>
      <c r="J35" s="67"/>
    </row>
    <row r="36" spans="1:10" ht="13.5" customHeight="1">
      <c r="A36" s="387" t="s">
        <v>709</v>
      </c>
      <c r="B36" s="387"/>
      <c r="C36" s="387"/>
      <c r="D36" s="387"/>
      <c r="E36" s="387"/>
      <c r="F36" s="387"/>
      <c r="G36" s="15">
        <v>28</v>
      </c>
      <c r="H36" s="16"/>
      <c r="I36" s="67"/>
      <c r="J36" s="67"/>
    </row>
    <row r="37" spans="1:10" ht="13.5" customHeight="1">
      <c r="A37" s="387" t="s">
        <v>1952</v>
      </c>
      <c r="B37" s="387"/>
      <c r="C37" s="387"/>
      <c r="D37" s="387"/>
      <c r="E37" s="387"/>
      <c r="F37" s="387"/>
      <c r="G37" s="15">
        <v>29</v>
      </c>
      <c r="H37" s="16"/>
      <c r="I37" s="67"/>
      <c r="J37" s="67"/>
    </row>
    <row r="38" spans="1:10" ht="13.5" customHeight="1">
      <c r="A38" s="387" t="s">
        <v>1953</v>
      </c>
      <c r="B38" s="387"/>
      <c r="C38" s="387"/>
      <c r="D38" s="387"/>
      <c r="E38" s="387"/>
      <c r="F38" s="387"/>
      <c r="G38" s="15">
        <v>30</v>
      </c>
      <c r="H38" s="16"/>
      <c r="I38" s="67"/>
      <c r="J38" s="67"/>
    </row>
    <row r="39" spans="1:10" ht="13.5" customHeight="1">
      <c r="A39" s="390" t="s">
        <v>1262</v>
      </c>
      <c r="B39" s="390"/>
      <c r="C39" s="390"/>
      <c r="D39" s="390"/>
      <c r="E39" s="390"/>
      <c r="F39" s="390"/>
      <c r="G39" s="15">
        <v>31</v>
      </c>
      <c r="H39" s="16"/>
      <c r="I39" s="66">
        <f>SUM(I40:I43)</f>
        <v>0</v>
      </c>
      <c r="J39" s="66">
        <f>SUM(J40:J43)</f>
        <v>0</v>
      </c>
    </row>
    <row r="40" spans="1:10" ht="13.5" customHeight="1">
      <c r="A40" s="387" t="s">
        <v>1954</v>
      </c>
      <c r="B40" s="387"/>
      <c r="C40" s="387"/>
      <c r="D40" s="387"/>
      <c r="E40" s="387"/>
      <c r="F40" s="387"/>
      <c r="G40" s="15">
        <v>32</v>
      </c>
      <c r="H40" s="16"/>
      <c r="I40" s="67"/>
      <c r="J40" s="67"/>
    </row>
    <row r="41" spans="1:10" ht="13.5" customHeight="1">
      <c r="A41" s="387" t="s">
        <v>159</v>
      </c>
      <c r="B41" s="387"/>
      <c r="C41" s="387"/>
      <c r="D41" s="387"/>
      <c r="E41" s="387"/>
      <c r="F41" s="387"/>
      <c r="G41" s="15">
        <v>33</v>
      </c>
      <c r="H41" s="16"/>
      <c r="I41" s="67"/>
      <c r="J41" s="67"/>
    </row>
    <row r="42" spans="1:10" ht="13.5" customHeight="1">
      <c r="A42" s="387" t="s">
        <v>1886</v>
      </c>
      <c r="B42" s="387"/>
      <c r="C42" s="387"/>
      <c r="D42" s="387"/>
      <c r="E42" s="387"/>
      <c r="F42" s="387"/>
      <c r="G42" s="15">
        <v>34</v>
      </c>
      <c r="H42" s="16"/>
      <c r="I42" s="67"/>
      <c r="J42" s="67"/>
    </row>
    <row r="43" spans="1:10" ht="13.5" customHeight="1">
      <c r="A43" s="387" t="s">
        <v>160</v>
      </c>
      <c r="B43" s="387"/>
      <c r="C43" s="387"/>
      <c r="D43" s="387"/>
      <c r="E43" s="387"/>
      <c r="F43" s="387"/>
      <c r="G43" s="15">
        <v>35</v>
      </c>
      <c r="H43" s="16"/>
      <c r="I43" s="67"/>
      <c r="J43" s="67"/>
    </row>
    <row r="44" spans="1:10" ht="13.5" customHeight="1">
      <c r="A44" s="390" t="s">
        <v>1505</v>
      </c>
      <c r="B44" s="390"/>
      <c r="C44" s="390"/>
      <c r="D44" s="390"/>
      <c r="E44" s="390"/>
      <c r="F44" s="390"/>
      <c r="G44" s="15">
        <v>36</v>
      </c>
      <c r="H44" s="16"/>
      <c r="I44" s="67"/>
      <c r="J44" s="67"/>
    </row>
    <row r="45" spans="1:10" ht="13.5" customHeight="1">
      <c r="A45" s="385" t="s">
        <v>1263</v>
      </c>
      <c r="B45" s="385"/>
      <c r="C45" s="385"/>
      <c r="D45" s="385"/>
      <c r="E45" s="385"/>
      <c r="F45" s="385"/>
      <c r="G45" s="15">
        <v>37</v>
      </c>
      <c r="H45" s="16"/>
      <c r="I45" s="66">
        <f>I46+I54+I61+I71</f>
        <v>15451</v>
      </c>
      <c r="J45" s="66">
        <f>J46+J54+J61+J71</f>
        <v>14388</v>
      </c>
    </row>
    <row r="46" spans="1:10" ht="13.5" customHeight="1">
      <c r="A46" s="390" t="s">
        <v>1264</v>
      </c>
      <c r="B46" s="390"/>
      <c r="C46" s="390"/>
      <c r="D46" s="390"/>
      <c r="E46" s="390"/>
      <c r="F46" s="390"/>
      <c r="G46" s="15">
        <v>38</v>
      </c>
      <c r="H46" s="16"/>
      <c r="I46" s="66">
        <f>SUM(I47:I53)</f>
        <v>0</v>
      </c>
      <c r="J46" s="66">
        <f>SUM(J47:J53)</f>
        <v>0</v>
      </c>
    </row>
    <row r="47" spans="1:10" ht="13.5" customHeight="1">
      <c r="A47" s="387" t="s">
        <v>1892</v>
      </c>
      <c r="B47" s="387"/>
      <c r="C47" s="387"/>
      <c r="D47" s="387"/>
      <c r="E47" s="387"/>
      <c r="F47" s="387"/>
      <c r="G47" s="15">
        <v>39</v>
      </c>
      <c r="H47" s="16"/>
      <c r="I47" s="67"/>
      <c r="J47" s="67"/>
    </row>
    <row r="48" spans="1:10" ht="13.5" customHeight="1">
      <c r="A48" s="387" t="s">
        <v>1893</v>
      </c>
      <c r="B48" s="387"/>
      <c r="C48" s="387"/>
      <c r="D48" s="387"/>
      <c r="E48" s="387"/>
      <c r="F48" s="387"/>
      <c r="G48" s="15">
        <v>40</v>
      </c>
      <c r="H48" s="16"/>
      <c r="I48" s="67"/>
      <c r="J48" s="67"/>
    </row>
    <row r="49" spans="1:10" ht="13.5" customHeight="1">
      <c r="A49" s="387" t="s">
        <v>1894</v>
      </c>
      <c r="B49" s="387"/>
      <c r="C49" s="387"/>
      <c r="D49" s="387"/>
      <c r="E49" s="387"/>
      <c r="F49" s="387"/>
      <c r="G49" s="15">
        <v>41</v>
      </c>
      <c r="H49" s="16"/>
      <c r="I49" s="67"/>
      <c r="J49" s="67"/>
    </row>
    <row r="50" spans="1:10" ht="13.5" customHeight="1">
      <c r="A50" s="387" t="s">
        <v>1895</v>
      </c>
      <c r="B50" s="387"/>
      <c r="C50" s="387"/>
      <c r="D50" s="387"/>
      <c r="E50" s="387"/>
      <c r="F50" s="387"/>
      <c r="G50" s="15">
        <v>42</v>
      </c>
      <c r="H50" s="16"/>
      <c r="I50" s="67"/>
      <c r="J50" s="67"/>
    </row>
    <row r="51" spans="1:10" ht="13.5" customHeight="1">
      <c r="A51" s="387" t="s">
        <v>1896</v>
      </c>
      <c r="B51" s="387"/>
      <c r="C51" s="387"/>
      <c r="D51" s="387"/>
      <c r="E51" s="387"/>
      <c r="F51" s="387"/>
      <c r="G51" s="15">
        <v>43</v>
      </c>
      <c r="H51" s="16"/>
      <c r="I51" s="67"/>
      <c r="J51" s="67"/>
    </row>
    <row r="52" spans="1:10" ht="13.5" customHeight="1">
      <c r="A52" s="387" t="s">
        <v>1897</v>
      </c>
      <c r="B52" s="387"/>
      <c r="C52" s="387"/>
      <c r="D52" s="387"/>
      <c r="E52" s="387"/>
      <c r="F52" s="387"/>
      <c r="G52" s="15">
        <v>44</v>
      </c>
      <c r="H52" s="16"/>
      <c r="I52" s="67"/>
      <c r="J52" s="67"/>
    </row>
    <row r="53" spans="1:10" ht="13.5" customHeight="1">
      <c r="A53" s="387" t="s">
        <v>2006</v>
      </c>
      <c r="B53" s="387"/>
      <c r="C53" s="387"/>
      <c r="D53" s="387"/>
      <c r="E53" s="387"/>
      <c r="F53" s="387"/>
      <c r="G53" s="15">
        <v>45</v>
      </c>
      <c r="H53" s="16"/>
      <c r="I53" s="67"/>
      <c r="J53" s="67"/>
    </row>
    <row r="54" spans="1:10" ht="13.5" customHeight="1">
      <c r="A54" s="390" t="s">
        <v>1265</v>
      </c>
      <c r="B54" s="390"/>
      <c r="C54" s="390"/>
      <c r="D54" s="390"/>
      <c r="E54" s="390"/>
      <c r="F54" s="390"/>
      <c r="G54" s="15">
        <v>46</v>
      </c>
      <c r="H54" s="16"/>
      <c r="I54" s="66">
        <f>SUM(I55:I60)</f>
        <v>0</v>
      </c>
      <c r="J54" s="66">
        <f>SUM(J55:J60)</f>
        <v>0</v>
      </c>
    </row>
    <row r="55" spans="1:10" ht="13.5" customHeight="1">
      <c r="A55" s="387" t="s">
        <v>2007</v>
      </c>
      <c r="B55" s="387"/>
      <c r="C55" s="387"/>
      <c r="D55" s="387"/>
      <c r="E55" s="387"/>
      <c r="F55" s="387"/>
      <c r="G55" s="15">
        <v>47</v>
      </c>
      <c r="H55" s="16"/>
      <c r="I55" s="67"/>
      <c r="J55" s="67"/>
    </row>
    <row r="56" spans="1:10" ht="13.5" customHeight="1">
      <c r="A56" s="387" t="s">
        <v>2008</v>
      </c>
      <c r="B56" s="387"/>
      <c r="C56" s="387"/>
      <c r="D56" s="387"/>
      <c r="E56" s="387"/>
      <c r="F56" s="387"/>
      <c r="G56" s="15">
        <v>48</v>
      </c>
      <c r="H56" s="16"/>
      <c r="I56" s="67"/>
      <c r="J56" s="67"/>
    </row>
    <row r="57" spans="1:10" ht="13.5" customHeight="1">
      <c r="A57" s="387" t="s">
        <v>1253</v>
      </c>
      <c r="B57" s="387"/>
      <c r="C57" s="387"/>
      <c r="D57" s="387"/>
      <c r="E57" s="387"/>
      <c r="F57" s="387"/>
      <c r="G57" s="15">
        <v>49</v>
      </c>
      <c r="H57" s="16"/>
      <c r="I57" s="67"/>
      <c r="J57" s="67"/>
    </row>
    <row r="58" spans="1:10" ht="13.5" customHeight="1">
      <c r="A58" s="387" t="s">
        <v>2009</v>
      </c>
      <c r="B58" s="387"/>
      <c r="C58" s="387"/>
      <c r="D58" s="387"/>
      <c r="E58" s="387"/>
      <c r="F58" s="387"/>
      <c r="G58" s="15">
        <v>50</v>
      </c>
      <c r="H58" s="16"/>
      <c r="I58" s="67"/>
      <c r="J58" s="67"/>
    </row>
    <row r="59" spans="1:10" ht="13.5" customHeight="1">
      <c r="A59" s="387" t="s">
        <v>2010</v>
      </c>
      <c r="B59" s="387"/>
      <c r="C59" s="387"/>
      <c r="D59" s="387"/>
      <c r="E59" s="387"/>
      <c r="F59" s="387"/>
      <c r="G59" s="15">
        <v>51</v>
      </c>
      <c r="H59" s="16"/>
      <c r="I59" s="67"/>
      <c r="J59" s="67"/>
    </row>
    <row r="60" spans="1:10" ht="13.5" customHeight="1">
      <c r="A60" s="387" t="s">
        <v>1255</v>
      </c>
      <c r="B60" s="387"/>
      <c r="C60" s="387"/>
      <c r="D60" s="387"/>
      <c r="E60" s="387"/>
      <c r="F60" s="387"/>
      <c r="G60" s="15">
        <v>52</v>
      </c>
      <c r="H60" s="16"/>
      <c r="I60" s="67"/>
      <c r="J60" s="67"/>
    </row>
    <row r="61" spans="1:10" ht="13.5" customHeight="1">
      <c r="A61" s="390" t="s">
        <v>1266</v>
      </c>
      <c r="B61" s="390"/>
      <c r="C61" s="390"/>
      <c r="D61" s="390"/>
      <c r="E61" s="390"/>
      <c r="F61" s="390"/>
      <c r="G61" s="15">
        <v>53</v>
      </c>
      <c r="H61" s="16"/>
      <c r="I61" s="66">
        <f>SUM(I62:I70)</f>
        <v>0</v>
      </c>
      <c r="J61" s="66">
        <f>SUM(J62:J70)</f>
        <v>0</v>
      </c>
    </row>
    <row r="62" spans="1:10" ht="13.5" customHeight="1">
      <c r="A62" s="387" t="s">
        <v>705</v>
      </c>
      <c r="B62" s="387"/>
      <c r="C62" s="387"/>
      <c r="D62" s="387"/>
      <c r="E62" s="387"/>
      <c r="F62" s="387"/>
      <c r="G62" s="15">
        <v>54</v>
      </c>
      <c r="H62" s="16"/>
      <c r="I62" s="67"/>
      <c r="J62" s="67"/>
    </row>
    <row r="63" spans="1:10" ht="13.5" customHeight="1">
      <c r="A63" s="387" t="s">
        <v>706</v>
      </c>
      <c r="B63" s="387"/>
      <c r="C63" s="387"/>
      <c r="D63" s="387"/>
      <c r="E63" s="387"/>
      <c r="F63" s="387"/>
      <c r="G63" s="15">
        <v>55</v>
      </c>
      <c r="H63" s="16"/>
      <c r="I63" s="67"/>
      <c r="J63" s="67"/>
    </row>
    <row r="64" spans="1:10" ht="13.5" customHeight="1">
      <c r="A64" s="387" t="s">
        <v>707</v>
      </c>
      <c r="B64" s="387"/>
      <c r="C64" s="387"/>
      <c r="D64" s="387"/>
      <c r="E64" s="387"/>
      <c r="F64" s="387"/>
      <c r="G64" s="15">
        <v>56</v>
      </c>
      <c r="H64" s="16"/>
      <c r="I64" s="67"/>
      <c r="J64" s="67"/>
    </row>
    <row r="65" spans="1:10" ht="24.75" customHeight="1">
      <c r="A65" s="387" t="s">
        <v>1997</v>
      </c>
      <c r="B65" s="387"/>
      <c r="C65" s="387"/>
      <c r="D65" s="387"/>
      <c r="E65" s="387"/>
      <c r="F65" s="387"/>
      <c r="G65" s="15">
        <v>57</v>
      </c>
      <c r="H65" s="16"/>
      <c r="I65" s="67"/>
      <c r="J65" s="67"/>
    </row>
    <row r="66" spans="1:10" ht="24.75" customHeight="1">
      <c r="A66" s="387" t="s">
        <v>882</v>
      </c>
      <c r="B66" s="387"/>
      <c r="C66" s="387"/>
      <c r="D66" s="387"/>
      <c r="E66" s="387"/>
      <c r="F66" s="387"/>
      <c r="G66" s="15">
        <v>58</v>
      </c>
      <c r="H66" s="16"/>
      <c r="I66" s="67"/>
      <c r="J66" s="67"/>
    </row>
    <row r="67" spans="1:10" ht="24.75" customHeight="1">
      <c r="A67" s="387" t="s">
        <v>1996</v>
      </c>
      <c r="B67" s="387"/>
      <c r="C67" s="387"/>
      <c r="D67" s="387"/>
      <c r="E67" s="387"/>
      <c r="F67" s="387"/>
      <c r="G67" s="15">
        <v>59</v>
      </c>
      <c r="H67" s="16"/>
      <c r="I67" s="67"/>
      <c r="J67" s="67"/>
    </row>
    <row r="68" spans="1:10" ht="13.5" customHeight="1">
      <c r="A68" s="387" t="s">
        <v>708</v>
      </c>
      <c r="B68" s="387"/>
      <c r="C68" s="387"/>
      <c r="D68" s="387"/>
      <c r="E68" s="387"/>
      <c r="F68" s="387"/>
      <c r="G68" s="15">
        <v>60</v>
      </c>
      <c r="H68" s="16"/>
      <c r="I68" s="67"/>
      <c r="J68" s="67"/>
    </row>
    <row r="69" spans="1:10" ht="13.5" customHeight="1">
      <c r="A69" s="387" t="s">
        <v>709</v>
      </c>
      <c r="B69" s="387"/>
      <c r="C69" s="387"/>
      <c r="D69" s="387"/>
      <c r="E69" s="387"/>
      <c r="F69" s="387"/>
      <c r="G69" s="15">
        <v>61</v>
      </c>
      <c r="H69" s="16"/>
      <c r="I69" s="67"/>
      <c r="J69" s="67"/>
    </row>
    <row r="70" spans="1:10" ht="13.5" customHeight="1">
      <c r="A70" s="387" t="s">
        <v>161</v>
      </c>
      <c r="B70" s="387"/>
      <c r="C70" s="387"/>
      <c r="D70" s="387"/>
      <c r="E70" s="387"/>
      <c r="F70" s="387"/>
      <c r="G70" s="15">
        <v>62</v>
      </c>
      <c r="H70" s="16"/>
      <c r="I70" s="67"/>
      <c r="J70" s="67"/>
    </row>
    <row r="71" spans="1:10" ht="13.5" customHeight="1">
      <c r="A71" s="390" t="s">
        <v>2776</v>
      </c>
      <c r="B71" s="390"/>
      <c r="C71" s="390"/>
      <c r="D71" s="390"/>
      <c r="E71" s="390"/>
      <c r="F71" s="390"/>
      <c r="G71" s="15">
        <v>63</v>
      </c>
      <c r="H71" s="16"/>
      <c r="I71" s="67">
        <v>15451</v>
      </c>
      <c r="J71" s="67">
        <v>14388</v>
      </c>
    </row>
    <row r="72" spans="1:10" ht="24.75" customHeight="1">
      <c r="A72" s="385" t="s">
        <v>591</v>
      </c>
      <c r="B72" s="385"/>
      <c r="C72" s="385"/>
      <c r="D72" s="385"/>
      <c r="E72" s="385"/>
      <c r="F72" s="385"/>
      <c r="G72" s="15">
        <v>64</v>
      </c>
      <c r="H72" s="16"/>
      <c r="I72" s="67"/>
      <c r="J72" s="67"/>
    </row>
    <row r="73" spans="1:10" ht="13.5" customHeight="1">
      <c r="A73" s="385" t="s">
        <v>1267</v>
      </c>
      <c r="B73" s="385"/>
      <c r="C73" s="385"/>
      <c r="D73" s="385"/>
      <c r="E73" s="385"/>
      <c r="F73" s="385"/>
      <c r="G73" s="15">
        <v>65</v>
      </c>
      <c r="H73" s="16"/>
      <c r="I73" s="66">
        <f>I9+I10+I45+I72</f>
        <v>15451</v>
      </c>
      <c r="J73" s="66">
        <f>J9+J10+J45+J72</f>
        <v>14388</v>
      </c>
    </row>
    <row r="74" spans="1:10" ht="13.5" customHeight="1">
      <c r="A74" s="386" t="s">
        <v>1004</v>
      </c>
      <c r="B74" s="386"/>
      <c r="C74" s="386"/>
      <c r="D74" s="386"/>
      <c r="E74" s="386"/>
      <c r="F74" s="386"/>
      <c r="G74" s="17">
        <v>66</v>
      </c>
      <c r="H74" s="18"/>
      <c r="I74" s="68"/>
      <c r="J74" s="68"/>
    </row>
    <row r="75" spans="1:10" ht="13.5" customHeight="1">
      <c r="A75" s="388" t="s">
        <v>1513</v>
      </c>
      <c r="B75" s="389"/>
      <c r="C75" s="389"/>
      <c r="D75" s="389"/>
      <c r="E75" s="389"/>
      <c r="F75" s="389"/>
      <c r="G75" s="389"/>
      <c r="H75" s="389"/>
      <c r="I75" s="389"/>
      <c r="J75" s="389"/>
    </row>
    <row r="76" spans="1:12" ht="13.5" customHeight="1">
      <c r="A76" s="385" t="s">
        <v>919</v>
      </c>
      <c r="B76" s="385"/>
      <c r="C76" s="385"/>
      <c r="D76" s="385"/>
      <c r="E76" s="385"/>
      <c r="F76" s="385"/>
      <c r="G76" s="15">
        <v>67</v>
      </c>
      <c r="H76" s="16"/>
      <c r="I76" s="66">
        <f>I77+I78+I79+I85+I86+I92+I95+I98</f>
        <v>15385</v>
      </c>
      <c r="J76" s="66">
        <f>J77+J78+J79+J85+J86+J92+J95+J98</f>
        <v>14318</v>
      </c>
      <c r="L76" s="2" t="s">
        <v>1209</v>
      </c>
    </row>
    <row r="77" spans="1:10" ht="13.5" customHeight="1">
      <c r="A77" s="390" t="s">
        <v>1857</v>
      </c>
      <c r="B77" s="390"/>
      <c r="C77" s="390"/>
      <c r="D77" s="390"/>
      <c r="E77" s="390"/>
      <c r="F77" s="390"/>
      <c r="G77" s="15">
        <v>68</v>
      </c>
      <c r="H77" s="16"/>
      <c r="I77" s="67">
        <v>20000</v>
      </c>
      <c r="J77" s="67">
        <v>20000</v>
      </c>
    </row>
    <row r="78" spans="1:12" ht="13.5" customHeight="1">
      <c r="A78" s="390" t="s">
        <v>1858</v>
      </c>
      <c r="B78" s="390"/>
      <c r="C78" s="390"/>
      <c r="D78" s="390"/>
      <c r="E78" s="390"/>
      <c r="F78" s="390"/>
      <c r="G78" s="15">
        <v>69</v>
      </c>
      <c r="H78" s="16"/>
      <c r="I78" s="67"/>
      <c r="J78" s="67"/>
      <c r="L78" s="2" t="s">
        <v>1209</v>
      </c>
    </row>
    <row r="79" spans="1:12" ht="13.5" customHeight="1">
      <c r="A79" s="390" t="s">
        <v>673</v>
      </c>
      <c r="B79" s="390"/>
      <c r="C79" s="390"/>
      <c r="D79" s="390"/>
      <c r="E79" s="390"/>
      <c r="F79" s="390"/>
      <c r="G79" s="15">
        <v>70</v>
      </c>
      <c r="H79" s="16"/>
      <c r="I79" s="66">
        <f>I80+I81-I82+I83+I84</f>
        <v>0</v>
      </c>
      <c r="J79" s="66">
        <f>J80+J81-J82+J83+J84</f>
        <v>0</v>
      </c>
      <c r="L79" s="2" t="s">
        <v>1209</v>
      </c>
    </row>
    <row r="80" spans="1:12" ht="13.5" customHeight="1">
      <c r="A80" s="387" t="s">
        <v>1258</v>
      </c>
      <c r="B80" s="387"/>
      <c r="C80" s="387"/>
      <c r="D80" s="387"/>
      <c r="E80" s="387"/>
      <c r="F80" s="387"/>
      <c r="G80" s="15">
        <v>71</v>
      </c>
      <c r="H80" s="16"/>
      <c r="I80" s="67"/>
      <c r="J80" s="67"/>
      <c r="L80" s="2" t="s">
        <v>1209</v>
      </c>
    </row>
    <row r="81" spans="1:12" ht="13.5" customHeight="1">
      <c r="A81" s="387" t="s">
        <v>1259</v>
      </c>
      <c r="B81" s="387"/>
      <c r="C81" s="387"/>
      <c r="D81" s="387"/>
      <c r="E81" s="387"/>
      <c r="F81" s="387"/>
      <c r="G81" s="15">
        <v>72</v>
      </c>
      <c r="H81" s="16"/>
      <c r="I81" s="67"/>
      <c r="J81" s="67"/>
      <c r="L81" s="2" t="s">
        <v>1209</v>
      </c>
    </row>
    <row r="82" spans="1:12" ht="13.5" customHeight="1">
      <c r="A82" s="387" t="s">
        <v>2825</v>
      </c>
      <c r="B82" s="387"/>
      <c r="C82" s="387"/>
      <c r="D82" s="387"/>
      <c r="E82" s="387"/>
      <c r="F82" s="387"/>
      <c r="G82" s="15">
        <v>73</v>
      </c>
      <c r="H82" s="16"/>
      <c r="I82" s="67"/>
      <c r="J82" s="67"/>
      <c r="L82" s="2" t="s">
        <v>1209</v>
      </c>
    </row>
    <row r="83" spans="1:12" ht="13.5" customHeight="1">
      <c r="A83" s="387" t="s">
        <v>2826</v>
      </c>
      <c r="B83" s="387"/>
      <c r="C83" s="387"/>
      <c r="D83" s="387"/>
      <c r="E83" s="387"/>
      <c r="F83" s="387"/>
      <c r="G83" s="15">
        <v>74</v>
      </c>
      <c r="H83" s="16"/>
      <c r="I83" s="67"/>
      <c r="J83" s="67"/>
      <c r="L83" s="2" t="s">
        <v>1209</v>
      </c>
    </row>
    <row r="84" spans="1:12" ht="13.5" customHeight="1">
      <c r="A84" s="387" t="s">
        <v>2827</v>
      </c>
      <c r="B84" s="387"/>
      <c r="C84" s="387"/>
      <c r="D84" s="387"/>
      <c r="E84" s="387"/>
      <c r="F84" s="387"/>
      <c r="G84" s="15">
        <v>75</v>
      </c>
      <c r="H84" s="16"/>
      <c r="I84" s="67"/>
      <c r="J84" s="67"/>
      <c r="L84" s="2" t="s">
        <v>1209</v>
      </c>
    </row>
    <row r="85" spans="1:12" ht="13.5" customHeight="1">
      <c r="A85" s="390" t="s">
        <v>2405</v>
      </c>
      <c r="B85" s="390"/>
      <c r="C85" s="390"/>
      <c r="D85" s="390"/>
      <c r="E85" s="390"/>
      <c r="F85" s="390"/>
      <c r="G85" s="15">
        <v>76</v>
      </c>
      <c r="H85" s="16"/>
      <c r="I85" s="67"/>
      <c r="J85" s="67"/>
      <c r="L85" s="2" t="s">
        <v>1209</v>
      </c>
    </row>
    <row r="86" spans="1:12" ht="13.5" customHeight="1">
      <c r="A86" s="390" t="s">
        <v>2484</v>
      </c>
      <c r="B86" s="390"/>
      <c r="C86" s="390"/>
      <c r="D86" s="390"/>
      <c r="E86" s="390"/>
      <c r="F86" s="390"/>
      <c r="G86" s="15">
        <v>77</v>
      </c>
      <c r="H86" s="16"/>
      <c r="I86" s="66">
        <f>SUM(I87:I91)</f>
        <v>0</v>
      </c>
      <c r="J86" s="66">
        <f>SUM(J87:J91)</f>
        <v>0</v>
      </c>
      <c r="L86" s="2" t="s">
        <v>1209</v>
      </c>
    </row>
    <row r="87" spans="1:12" ht="24.75" customHeight="1">
      <c r="A87" s="387" t="s">
        <v>344</v>
      </c>
      <c r="B87" s="387"/>
      <c r="C87" s="387"/>
      <c r="D87" s="387"/>
      <c r="E87" s="387"/>
      <c r="F87" s="387"/>
      <c r="G87" s="15">
        <v>78</v>
      </c>
      <c r="H87" s="16"/>
      <c r="I87" s="67"/>
      <c r="J87" s="67"/>
      <c r="L87" s="2" t="s">
        <v>1209</v>
      </c>
    </row>
    <row r="88" spans="1:12" ht="13.5" customHeight="1">
      <c r="A88" s="387" t="s">
        <v>2828</v>
      </c>
      <c r="B88" s="387"/>
      <c r="C88" s="387"/>
      <c r="D88" s="387"/>
      <c r="E88" s="387"/>
      <c r="F88" s="387"/>
      <c r="G88" s="15">
        <v>79</v>
      </c>
      <c r="H88" s="16"/>
      <c r="I88" s="67"/>
      <c r="J88" s="67"/>
      <c r="L88" s="2" t="s">
        <v>1209</v>
      </c>
    </row>
    <row r="89" spans="1:12" ht="13.5" customHeight="1">
      <c r="A89" s="387" t="s">
        <v>2829</v>
      </c>
      <c r="B89" s="387"/>
      <c r="C89" s="387"/>
      <c r="D89" s="387"/>
      <c r="E89" s="387"/>
      <c r="F89" s="387"/>
      <c r="G89" s="15">
        <v>80</v>
      </c>
      <c r="H89" s="16"/>
      <c r="I89" s="67"/>
      <c r="J89" s="67"/>
      <c r="L89" s="2" t="s">
        <v>1209</v>
      </c>
    </row>
    <row r="90" spans="1:12" ht="13.5" customHeight="1">
      <c r="A90" s="387" t="s">
        <v>2485</v>
      </c>
      <c r="B90" s="387"/>
      <c r="C90" s="387"/>
      <c r="D90" s="387"/>
      <c r="E90" s="387"/>
      <c r="F90" s="387"/>
      <c r="G90" s="15">
        <v>81</v>
      </c>
      <c r="H90" s="16"/>
      <c r="I90" s="67"/>
      <c r="J90" s="67"/>
      <c r="L90" s="2" t="s">
        <v>1209</v>
      </c>
    </row>
    <row r="91" spans="1:12" ht="25.5" customHeight="1">
      <c r="A91" s="387" t="s">
        <v>343</v>
      </c>
      <c r="B91" s="387"/>
      <c r="C91" s="387"/>
      <c r="D91" s="387"/>
      <c r="E91" s="387"/>
      <c r="F91" s="387"/>
      <c r="G91" s="15">
        <v>82</v>
      </c>
      <c r="H91" s="16"/>
      <c r="I91" s="67"/>
      <c r="J91" s="67"/>
      <c r="L91" s="2" t="s">
        <v>1209</v>
      </c>
    </row>
    <row r="92" spans="1:12" ht="13.5" customHeight="1">
      <c r="A92" s="390" t="s">
        <v>2486</v>
      </c>
      <c r="B92" s="390"/>
      <c r="C92" s="390"/>
      <c r="D92" s="390"/>
      <c r="E92" s="390"/>
      <c r="F92" s="390"/>
      <c r="G92" s="15">
        <v>83</v>
      </c>
      <c r="H92" s="16"/>
      <c r="I92" s="66">
        <f>I93-I94</f>
        <v>-3558</v>
      </c>
      <c r="J92" s="66">
        <f>J93-J94</f>
        <v>-4615</v>
      </c>
      <c r="L92" s="2" t="s">
        <v>1209</v>
      </c>
    </row>
    <row r="93" spans="1:10" ht="13.5" customHeight="1">
      <c r="A93" s="387" t="s">
        <v>2830</v>
      </c>
      <c r="B93" s="387"/>
      <c r="C93" s="387"/>
      <c r="D93" s="387"/>
      <c r="E93" s="387"/>
      <c r="F93" s="387"/>
      <c r="G93" s="15">
        <v>84</v>
      </c>
      <c r="H93" s="16"/>
      <c r="I93" s="67"/>
      <c r="J93" s="67"/>
    </row>
    <row r="94" spans="1:10" ht="13.5" customHeight="1">
      <c r="A94" s="387" t="s">
        <v>2831</v>
      </c>
      <c r="B94" s="387"/>
      <c r="C94" s="387"/>
      <c r="D94" s="387"/>
      <c r="E94" s="387"/>
      <c r="F94" s="387"/>
      <c r="G94" s="15">
        <v>85</v>
      </c>
      <c r="H94" s="16"/>
      <c r="I94" s="67">
        <v>3558</v>
      </c>
      <c r="J94" s="67">
        <v>4615</v>
      </c>
    </row>
    <row r="95" spans="1:12" ht="13.5" customHeight="1">
      <c r="A95" s="390" t="s">
        <v>2487</v>
      </c>
      <c r="B95" s="390"/>
      <c r="C95" s="390"/>
      <c r="D95" s="390"/>
      <c r="E95" s="390"/>
      <c r="F95" s="390"/>
      <c r="G95" s="15">
        <v>86</v>
      </c>
      <c r="H95" s="16"/>
      <c r="I95" s="66">
        <f>I96-I97</f>
        <v>-1057</v>
      </c>
      <c r="J95" s="66">
        <f>J96-J97</f>
        <v>-1067</v>
      </c>
      <c r="L95" s="2" t="s">
        <v>1209</v>
      </c>
    </row>
    <row r="96" spans="1:10" ht="13.5" customHeight="1">
      <c r="A96" s="387" t="s">
        <v>1257</v>
      </c>
      <c r="B96" s="387"/>
      <c r="C96" s="387"/>
      <c r="D96" s="387"/>
      <c r="E96" s="387"/>
      <c r="F96" s="387"/>
      <c r="G96" s="15">
        <v>87</v>
      </c>
      <c r="H96" s="16"/>
      <c r="I96" s="67"/>
      <c r="J96" s="67"/>
    </row>
    <row r="97" spans="1:10" ht="13.5" customHeight="1">
      <c r="A97" s="387" t="s">
        <v>2832</v>
      </c>
      <c r="B97" s="387"/>
      <c r="C97" s="387"/>
      <c r="D97" s="387"/>
      <c r="E97" s="387"/>
      <c r="F97" s="387"/>
      <c r="G97" s="15">
        <v>88</v>
      </c>
      <c r="H97" s="16"/>
      <c r="I97" s="67">
        <v>1057</v>
      </c>
      <c r="J97" s="67">
        <v>1067</v>
      </c>
    </row>
    <row r="98" spans="1:12" ht="13.5" customHeight="1">
      <c r="A98" s="390" t="s">
        <v>748</v>
      </c>
      <c r="B98" s="390"/>
      <c r="C98" s="390"/>
      <c r="D98" s="390"/>
      <c r="E98" s="390"/>
      <c r="F98" s="390"/>
      <c r="G98" s="15">
        <v>89</v>
      </c>
      <c r="H98" s="16"/>
      <c r="I98" s="67"/>
      <c r="J98" s="67"/>
      <c r="L98" s="2" t="s">
        <v>1209</v>
      </c>
    </row>
    <row r="99" spans="1:10" ht="13.5" customHeight="1">
      <c r="A99" s="385" t="s">
        <v>2488</v>
      </c>
      <c r="B99" s="385"/>
      <c r="C99" s="385"/>
      <c r="D99" s="385"/>
      <c r="E99" s="385"/>
      <c r="F99" s="385"/>
      <c r="G99" s="15">
        <v>90</v>
      </c>
      <c r="H99" s="16"/>
      <c r="I99" s="66">
        <f>SUM(I100:I105)</f>
        <v>0</v>
      </c>
      <c r="J99" s="66">
        <f>SUM(J100:J105)</f>
        <v>0</v>
      </c>
    </row>
    <row r="100" spans="1:10" ht="13.5" customHeight="1">
      <c r="A100" s="387" t="s">
        <v>0</v>
      </c>
      <c r="B100" s="387"/>
      <c r="C100" s="387"/>
      <c r="D100" s="387"/>
      <c r="E100" s="387"/>
      <c r="F100" s="387"/>
      <c r="G100" s="15">
        <v>91</v>
      </c>
      <c r="H100" s="16"/>
      <c r="I100" s="67"/>
      <c r="J100" s="67"/>
    </row>
    <row r="101" spans="1:10" ht="13.5" customHeight="1">
      <c r="A101" s="387" t="s">
        <v>1</v>
      </c>
      <c r="B101" s="387"/>
      <c r="C101" s="387"/>
      <c r="D101" s="387"/>
      <c r="E101" s="387"/>
      <c r="F101" s="387"/>
      <c r="G101" s="15">
        <v>92</v>
      </c>
      <c r="H101" s="16"/>
      <c r="I101" s="67"/>
      <c r="J101" s="67"/>
    </row>
    <row r="102" spans="1:10" ht="13.5" customHeight="1">
      <c r="A102" s="387" t="s">
        <v>1256</v>
      </c>
      <c r="B102" s="387"/>
      <c r="C102" s="387"/>
      <c r="D102" s="387"/>
      <c r="E102" s="387"/>
      <c r="F102" s="387"/>
      <c r="G102" s="15">
        <v>93</v>
      </c>
      <c r="H102" s="16"/>
      <c r="I102" s="67"/>
      <c r="J102" s="67"/>
    </row>
    <row r="103" spans="1:10" ht="13.5" customHeight="1">
      <c r="A103" s="387" t="s">
        <v>2833</v>
      </c>
      <c r="B103" s="387"/>
      <c r="C103" s="387"/>
      <c r="D103" s="387"/>
      <c r="E103" s="387"/>
      <c r="F103" s="387"/>
      <c r="G103" s="15">
        <v>94</v>
      </c>
      <c r="H103" s="16"/>
      <c r="I103" s="67"/>
      <c r="J103" s="67"/>
    </row>
    <row r="104" spans="1:10" ht="13.5" customHeight="1">
      <c r="A104" s="387" t="s">
        <v>1270</v>
      </c>
      <c r="B104" s="387"/>
      <c r="C104" s="387"/>
      <c r="D104" s="387"/>
      <c r="E104" s="387"/>
      <c r="F104" s="387"/>
      <c r="G104" s="15">
        <v>95</v>
      </c>
      <c r="H104" s="16"/>
      <c r="I104" s="67"/>
      <c r="J104" s="67"/>
    </row>
    <row r="105" spans="1:10" ht="13.5" customHeight="1">
      <c r="A105" s="387" t="s">
        <v>749</v>
      </c>
      <c r="B105" s="387"/>
      <c r="C105" s="387"/>
      <c r="D105" s="387"/>
      <c r="E105" s="387"/>
      <c r="F105" s="387"/>
      <c r="G105" s="15">
        <v>96</v>
      </c>
      <c r="H105" s="16"/>
      <c r="I105" s="67"/>
      <c r="J105" s="67"/>
    </row>
    <row r="106" spans="1:10" ht="13.5" customHeight="1">
      <c r="A106" s="385" t="s">
        <v>2489</v>
      </c>
      <c r="B106" s="385"/>
      <c r="C106" s="385"/>
      <c r="D106" s="385"/>
      <c r="E106" s="385"/>
      <c r="F106" s="385"/>
      <c r="G106" s="15">
        <v>97</v>
      </c>
      <c r="H106" s="16"/>
      <c r="I106" s="66">
        <f>SUM(I107:I117)</f>
        <v>0</v>
      </c>
      <c r="J106" s="66">
        <f>SUM(J107:J117)</f>
        <v>0</v>
      </c>
    </row>
    <row r="107" spans="1:10" ht="13.5" customHeight="1">
      <c r="A107" s="387" t="s">
        <v>750</v>
      </c>
      <c r="B107" s="387"/>
      <c r="C107" s="387"/>
      <c r="D107" s="387"/>
      <c r="E107" s="387"/>
      <c r="F107" s="387"/>
      <c r="G107" s="15">
        <v>98</v>
      </c>
      <c r="H107" s="16"/>
      <c r="I107" s="67"/>
      <c r="J107" s="67"/>
    </row>
    <row r="108" spans="1:10" ht="13.5" customHeight="1">
      <c r="A108" s="387" t="s">
        <v>2015</v>
      </c>
      <c r="B108" s="387"/>
      <c r="C108" s="387"/>
      <c r="D108" s="387"/>
      <c r="E108" s="387"/>
      <c r="F108" s="387"/>
      <c r="G108" s="15">
        <v>99</v>
      </c>
      <c r="H108" s="16"/>
      <c r="I108" s="67"/>
      <c r="J108" s="67"/>
    </row>
    <row r="109" spans="1:10" ht="13.5" customHeight="1">
      <c r="A109" s="387" t="s">
        <v>2019</v>
      </c>
      <c r="B109" s="387"/>
      <c r="C109" s="387"/>
      <c r="D109" s="387"/>
      <c r="E109" s="387"/>
      <c r="F109" s="387"/>
      <c r="G109" s="15">
        <v>100</v>
      </c>
      <c r="H109" s="16"/>
      <c r="I109" s="67"/>
      <c r="J109" s="67"/>
    </row>
    <row r="110" spans="1:10" ht="24.75" customHeight="1">
      <c r="A110" s="387" t="s">
        <v>592</v>
      </c>
      <c r="B110" s="387"/>
      <c r="C110" s="387"/>
      <c r="D110" s="387"/>
      <c r="E110" s="387"/>
      <c r="F110" s="387"/>
      <c r="G110" s="15">
        <v>101</v>
      </c>
      <c r="H110" s="16"/>
      <c r="I110" s="67"/>
      <c r="J110" s="67"/>
    </row>
    <row r="111" spans="1:10" ht="13.5" customHeight="1">
      <c r="A111" s="387" t="s">
        <v>2020</v>
      </c>
      <c r="B111" s="387"/>
      <c r="C111" s="387"/>
      <c r="D111" s="387"/>
      <c r="E111" s="387"/>
      <c r="F111" s="387"/>
      <c r="G111" s="15">
        <v>102</v>
      </c>
      <c r="H111" s="16"/>
      <c r="I111" s="67"/>
      <c r="J111" s="67"/>
    </row>
    <row r="112" spans="1:10" ht="13.5" customHeight="1">
      <c r="A112" s="387" t="s">
        <v>2021</v>
      </c>
      <c r="B112" s="387"/>
      <c r="C112" s="387"/>
      <c r="D112" s="387"/>
      <c r="E112" s="387"/>
      <c r="F112" s="387"/>
      <c r="G112" s="15">
        <v>103</v>
      </c>
      <c r="H112" s="16"/>
      <c r="I112" s="67"/>
      <c r="J112" s="67"/>
    </row>
    <row r="113" spans="1:10" ht="13.5" customHeight="1">
      <c r="A113" s="387" t="s">
        <v>2016</v>
      </c>
      <c r="B113" s="387"/>
      <c r="C113" s="387"/>
      <c r="D113" s="387"/>
      <c r="E113" s="387"/>
      <c r="F113" s="387"/>
      <c r="G113" s="15">
        <v>104</v>
      </c>
      <c r="H113" s="16"/>
      <c r="I113" s="67"/>
      <c r="J113" s="67"/>
    </row>
    <row r="114" spans="1:10" ht="13.5" customHeight="1">
      <c r="A114" s="387" t="s">
        <v>2017</v>
      </c>
      <c r="B114" s="387"/>
      <c r="C114" s="387"/>
      <c r="D114" s="387"/>
      <c r="E114" s="387"/>
      <c r="F114" s="387"/>
      <c r="G114" s="15">
        <v>105</v>
      </c>
      <c r="H114" s="16"/>
      <c r="I114" s="67"/>
      <c r="J114" s="67"/>
    </row>
    <row r="115" spans="1:10" ht="13.5" customHeight="1">
      <c r="A115" s="387" t="s">
        <v>2018</v>
      </c>
      <c r="B115" s="387"/>
      <c r="C115" s="387"/>
      <c r="D115" s="387"/>
      <c r="E115" s="387"/>
      <c r="F115" s="387"/>
      <c r="G115" s="15">
        <v>106</v>
      </c>
      <c r="H115" s="16"/>
      <c r="I115" s="67"/>
      <c r="J115" s="67"/>
    </row>
    <row r="116" spans="1:10" ht="13.5" customHeight="1">
      <c r="A116" s="387" t="s">
        <v>1271</v>
      </c>
      <c r="B116" s="387"/>
      <c r="C116" s="387"/>
      <c r="D116" s="387"/>
      <c r="E116" s="387"/>
      <c r="F116" s="387"/>
      <c r="G116" s="15">
        <v>107</v>
      </c>
      <c r="H116" s="16"/>
      <c r="I116" s="67"/>
      <c r="J116" s="67"/>
    </row>
    <row r="117" spans="1:10" ht="13.5" customHeight="1">
      <c r="A117" s="387" t="s">
        <v>1272</v>
      </c>
      <c r="B117" s="387"/>
      <c r="C117" s="387"/>
      <c r="D117" s="387"/>
      <c r="E117" s="387"/>
      <c r="F117" s="387"/>
      <c r="G117" s="15">
        <v>108</v>
      </c>
      <c r="H117" s="16"/>
      <c r="I117" s="67"/>
      <c r="J117" s="67"/>
    </row>
    <row r="118" spans="1:10" ht="13.5" customHeight="1">
      <c r="A118" s="385" t="s">
        <v>2490</v>
      </c>
      <c r="B118" s="385"/>
      <c r="C118" s="385"/>
      <c r="D118" s="385"/>
      <c r="E118" s="385"/>
      <c r="F118" s="385"/>
      <c r="G118" s="15">
        <v>109</v>
      </c>
      <c r="H118" s="16"/>
      <c r="I118" s="66">
        <f>SUM(I119:I132)</f>
        <v>66</v>
      </c>
      <c r="J118" s="66">
        <f>SUM(J119:J132)</f>
        <v>70</v>
      </c>
    </row>
    <row r="119" spans="1:10" ht="13.5" customHeight="1">
      <c r="A119" s="387" t="s">
        <v>750</v>
      </c>
      <c r="B119" s="387"/>
      <c r="C119" s="387"/>
      <c r="D119" s="387"/>
      <c r="E119" s="387"/>
      <c r="F119" s="387"/>
      <c r="G119" s="15">
        <v>110</v>
      </c>
      <c r="H119" s="16"/>
      <c r="I119" s="67"/>
      <c r="J119" s="67"/>
    </row>
    <row r="120" spans="1:10" ht="13.5" customHeight="1">
      <c r="A120" s="387" t="s">
        <v>2015</v>
      </c>
      <c r="B120" s="387"/>
      <c r="C120" s="387"/>
      <c r="D120" s="387"/>
      <c r="E120" s="387"/>
      <c r="F120" s="387"/>
      <c r="G120" s="15">
        <v>111</v>
      </c>
      <c r="H120" s="16"/>
      <c r="I120" s="67"/>
      <c r="J120" s="67"/>
    </row>
    <row r="121" spans="1:10" ht="13.5" customHeight="1">
      <c r="A121" s="387" t="s">
        <v>2019</v>
      </c>
      <c r="B121" s="387"/>
      <c r="C121" s="387"/>
      <c r="D121" s="387"/>
      <c r="E121" s="387"/>
      <c r="F121" s="387"/>
      <c r="G121" s="15">
        <v>112</v>
      </c>
      <c r="H121" s="16"/>
      <c r="I121" s="67"/>
      <c r="J121" s="67"/>
    </row>
    <row r="122" spans="1:10" ht="24.75" customHeight="1">
      <c r="A122" s="387" t="s">
        <v>592</v>
      </c>
      <c r="B122" s="387"/>
      <c r="C122" s="387"/>
      <c r="D122" s="387"/>
      <c r="E122" s="387"/>
      <c r="F122" s="387"/>
      <c r="G122" s="15">
        <v>113</v>
      </c>
      <c r="H122" s="16"/>
      <c r="I122" s="67"/>
      <c r="J122" s="67"/>
    </row>
    <row r="123" spans="1:10" ht="13.5" customHeight="1">
      <c r="A123" s="387" t="s">
        <v>2020</v>
      </c>
      <c r="B123" s="387"/>
      <c r="C123" s="387"/>
      <c r="D123" s="387"/>
      <c r="E123" s="387"/>
      <c r="F123" s="387"/>
      <c r="G123" s="15">
        <v>114</v>
      </c>
      <c r="H123" s="16"/>
      <c r="I123" s="67"/>
      <c r="J123" s="67"/>
    </row>
    <row r="124" spans="1:10" ht="13.5" customHeight="1">
      <c r="A124" s="387" t="s">
        <v>2021</v>
      </c>
      <c r="B124" s="387"/>
      <c r="C124" s="387"/>
      <c r="D124" s="387"/>
      <c r="E124" s="387"/>
      <c r="F124" s="387"/>
      <c r="G124" s="15">
        <v>115</v>
      </c>
      <c r="H124" s="16"/>
      <c r="I124" s="67"/>
      <c r="J124" s="67"/>
    </row>
    <row r="125" spans="1:10" ht="13.5" customHeight="1">
      <c r="A125" s="387" t="s">
        <v>2016</v>
      </c>
      <c r="B125" s="387"/>
      <c r="C125" s="387"/>
      <c r="D125" s="387"/>
      <c r="E125" s="387"/>
      <c r="F125" s="387"/>
      <c r="G125" s="15">
        <v>116</v>
      </c>
      <c r="H125" s="16"/>
      <c r="I125" s="67"/>
      <c r="J125" s="67"/>
    </row>
    <row r="126" spans="1:10" ht="13.5" customHeight="1">
      <c r="A126" s="387" t="s">
        <v>2017</v>
      </c>
      <c r="B126" s="387"/>
      <c r="C126" s="387"/>
      <c r="D126" s="387"/>
      <c r="E126" s="387"/>
      <c r="F126" s="387"/>
      <c r="G126" s="15">
        <v>117</v>
      </c>
      <c r="H126" s="16"/>
      <c r="I126" s="67">
        <v>66</v>
      </c>
      <c r="J126" s="67">
        <v>70</v>
      </c>
    </row>
    <row r="127" spans="1:10" ht="13.5" customHeight="1">
      <c r="A127" s="387" t="s">
        <v>2018</v>
      </c>
      <c r="B127" s="387"/>
      <c r="C127" s="387"/>
      <c r="D127" s="387"/>
      <c r="E127" s="387"/>
      <c r="F127" s="387"/>
      <c r="G127" s="15">
        <v>118</v>
      </c>
      <c r="H127" s="16"/>
      <c r="I127" s="67"/>
      <c r="J127" s="67"/>
    </row>
    <row r="128" spans="1:10" ht="13.5" customHeight="1">
      <c r="A128" s="387" t="s">
        <v>2022</v>
      </c>
      <c r="B128" s="387"/>
      <c r="C128" s="387"/>
      <c r="D128" s="387"/>
      <c r="E128" s="387"/>
      <c r="F128" s="387"/>
      <c r="G128" s="15">
        <v>119</v>
      </c>
      <c r="H128" s="16"/>
      <c r="I128" s="67"/>
      <c r="J128" s="67"/>
    </row>
    <row r="129" spans="1:10" ht="13.5" customHeight="1">
      <c r="A129" s="387" t="s">
        <v>2023</v>
      </c>
      <c r="B129" s="387"/>
      <c r="C129" s="387"/>
      <c r="D129" s="387"/>
      <c r="E129" s="387"/>
      <c r="F129" s="387"/>
      <c r="G129" s="15">
        <v>120</v>
      </c>
      <c r="H129" s="16"/>
      <c r="I129" s="67"/>
      <c r="J129" s="67"/>
    </row>
    <row r="130" spans="1:10" ht="13.5" customHeight="1">
      <c r="A130" s="387" t="s">
        <v>2024</v>
      </c>
      <c r="B130" s="387"/>
      <c r="C130" s="387"/>
      <c r="D130" s="387"/>
      <c r="E130" s="387"/>
      <c r="F130" s="387"/>
      <c r="G130" s="15">
        <v>121</v>
      </c>
      <c r="H130" s="16"/>
      <c r="I130" s="67"/>
      <c r="J130" s="67"/>
    </row>
    <row r="131" spans="1:10" ht="13.5" customHeight="1">
      <c r="A131" s="387" t="s">
        <v>704</v>
      </c>
      <c r="B131" s="387"/>
      <c r="C131" s="387"/>
      <c r="D131" s="387"/>
      <c r="E131" s="387"/>
      <c r="F131" s="387"/>
      <c r="G131" s="15">
        <v>122</v>
      </c>
      <c r="H131" s="16"/>
      <c r="I131" s="67"/>
      <c r="J131" s="67"/>
    </row>
    <row r="132" spans="1:10" ht="13.5" customHeight="1">
      <c r="A132" s="387" t="s">
        <v>162</v>
      </c>
      <c r="B132" s="387"/>
      <c r="C132" s="387"/>
      <c r="D132" s="387"/>
      <c r="E132" s="387"/>
      <c r="F132" s="387"/>
      <c r="G132" s="15">
        <v>123</v>
      </c>
      <c r="H132" s="16"/>
      <c r="I132" s="67"/>
      <c r="J132" s="67"/>
    </row>
    <row r="133" spans="1:10" ht="24.75" customHeight="1">
      <c r="A133" s="385" t="s">
        <v>593</v>
      </c>
      <c r="B133" s="385"/>
      <c r="C133" s="385"/>
      <c r="D133" s="385"/>
      <c r="E133" s="385"/>
      <c r="F133" s="385"/>
      <c r="G133" s="15">
        <v>124</v>
      </c>
      <c r="H133" s="16"/>
      <c r="I133" s="67"/>
      <c r="J133" s="67"/>
    </row>
    <row r="134" spans="1:10" ht="13.5" customHeight="1">
      <c r="A134" s="385" t="s">
        <v>360</v>
      </c>
      <c r="B134" s="385"/>
      <c r="C134" s="385"/>
      <c r="D134" s="385"/>
      <c r="E134" s="385"/>
      <c r="F134" s="385"/>
      <c r="G134" s="15">
        <v>125</v>
      </c>
      <c r="H134" s="16"/>
      <c r="I134" s="66">
        <f>I76+I99+I106+I118+I133</f>
        <v>15451</v>
      </c>
      <c r="J134" s="66">
        <f>J76+J99+J106+J118+J133</f>
        <v>14388</v>
      </c>
    </row>
    <row r="135" spans="1:10" ht="13.5" customHeight="1">
      <c r="A135" s="386" t="s">
        <v>1512</v>
      </c>
      <c r="B135" s="386"/>
      <c r="C135" s="386"/>
      <c r="D135" s="386"/>
      <c r="E135" s="386"/>
      <c r="F135" s="386"/>
      <c r="G135" s="17">
        <v>126</v>
      </c>
      <c r="H135" s="18"/>
      <c r="I135" s="68"/>
      <c r="J135" s="68"/>
    </row>
    <row r="136" ht="4.5" customHeight="1"/>
  </sheetData>
  <sheetProtection password="C79A" sheet="1" objects="1" scenarios="1"/>
  <mergeCells count="134">
    <mergeCell ref="A97:F97"/>
    <mergeCell ref="A96:F96"/>
    <mergeCell ref="A67:F67"/>
    <mergeCell ref="A77:F77"/>
    <mergeCell ref="A78:F78"/>
    <mergeCell ref="A79:F79"/>
    <mergeCell ref="A80:F80"/>
    <mergeCell ref="A72:F72"/>
    <mergeCell ref="A73:F73"/>
    <mergeCell ref="A74:F74"/>
    <mergeCell ref="A99:F99"/>
    <mergeCell ref="A81:F81"/>
    <mergeCell ref="A83:F83"/>
    <mergeCell ref="A84:F84"/>
    <mergeCell ref="A86:F86"/>
    <mergeCell ref="A89:F89"/>
    <mergeCell ref="A92:F92"/>
    <mergeCell ref="A93:F93"/>
    <mergeCell ref="A94:F94"/>
    <mergeCell ref="A95:F95"/>
    <mergeCell ref="A61:F61"/>
    <mergeCell ref="A76:F76"/>
    <mergeCell ref="A68:F68"/>
    <mergeCell ref="A62:F62"/>
    <mergeCell ref="A63:F63"/>
    <mergeCell ref="A64:F64"/>
    <mergeCell ref="A65:F65"/>
    <mergeCell ref="A66:F66"/>
    <mergeCell ref="A52:F52"/>
    <mergeCell ref="A53:F53"/>
    <mergeCell ref="A54:F54"/>
    <mergeCell ref="A55:F55"/>
    <mergeCell ref="A56:F56"/>
    <mergeCell ref="A60:F60"/>
    <mergeCell ref="A45:F45"/>
    <mergeCell ref="A58:F58"/>
    <mergeCell ref="A57:F57"/>
    <mergeCell ref="A46:F46"/>
    <mergeCell ref="A47:F47"/>
    <mergeCell ref="A59:F59"/>
    <mergeCell ref="A48:F48"/>
    <mergeCell ref="A49:F49"/>
    <mergeCell ref="A50:F50"/>
    <mergeCell ref="A51:F51"/>
    <mergeCell ref="A43:F43"/>
    <mergeCell ref="A37:F37"/>
    <mergeCell ref="A36:F36"/>
    <mergeCell ref="A38:F38"/>
    <mergeCell ref="A39:F39"/>
    <mergeCell ref="A44:F44"/>
    <mergeCell ref="A30:F30"/>
    <mergeCell ref="A31:F31"/>
    <mergeCell ref="A32:F32"/>
    <mergeCell ref="A40:F40"/>
    <mergeCell ref="A41:F41"/>
    <mergeCell ref="A42:F42"/>
    <mergeCell ref="A9:F9"/>
    <mergeCell ref="A10:F10"/>
    <mergeCell ref="A11:F11"/>
    <mergeCell ref="A12:F12"/>
    <mergeCell ref="A34:F34"/>
    <mergeCell ref="A35:F35"/>
    <mergeCell ref="A22:F22"/>
    <mergeCell ref="A23:F23"/>
    <mergeCell ref="A24:F24"/>
    <mergeCell ref="A29:F29"/>
    <mergeCell ref="A19:F19"/>
    <mergeCell ref="A20:F20"/>
    <mergeCell ref="A27:F27"/>
    <mergeCell ref="A28:F28"/>
    <mergeCell ref="A21:F21"/>
    <mergeCell ref="A109:F109"/>
    <mergeCell ref="A104:F104"/>
    <mergeCell ref="A105:F105"/>
    <mergeCell ref="A106:F106"/>
    <mergeCell ref="A107:F107"/>
    <mergeCell ref="A13:F13"/>
    <mergeCell ref="A100:F100"/>
    <mergeCell ref="A108:F108"/>
    <mergeCell ref="A87:F87"/>
    <mergeCell ref="A88:F88"/>
    <mergeCell ref="A90:F90"/>
    <mergeCell ref="A91:F91"/>
    <mergeCell ref="A33:F33"/>
    <mergeCell ref="A17:F17"/>
    <mergeCell ref="A18:F18"/>
    <mergeCell ref="J2:J3"/>
    <mergeCell ref="A2:I2"/>
    <mergeCell ref="A3:I3"/>
    <mergeCell ref="A69:F69"/>
    <mergeCell ref="A5:J5"/>
    <mergeCell ref="A6:F6"/>
    <mergeCell ref="A7:F7"/>
    <mergeCell ref="A16:F16"/>
    <mergeCell ref="A25:F25"/>
    <mergeCell ref="A26:F26"/>
    <mergeCell ref="A8:J8"/>
    <mergeCell ref="A14:F14"/>
    <mergeCell ref="A15:F15"/>
    <mergeCell ref="A127:F127"/>
    <mergeCell ref="A70:F70"/>
    <mergeCell ref="A71:F71"/>
    <mergeCell ref="A82:F82"/>
    <mergeCell ref="A85:F85"/>
    <mergeCell ref="A117:F117"/>
    <mergeCell ref="A118:F118"/>
    <mergeCell ref="A119:F119"/>
    <mergeCell ref="A75:J75"/>
    <mergeCell ref="A101:F101"/>
    <mergeCell ref="A123:F123"/>
    <mergeCell ref="A110:F110"/>
    <mergeCell ref="A112:F112"/>
    <mergeCell ref="A111:F111"/>
    <mergeCell ref="A102:F102"/>
    <mergeCell ref="A103:F103"/>
    <mergeCell ref="A98:F98"/>
    <mergeCell ref="A124:F124"/>
    <mergeCell ref="A125:F125"/>
    <mergeCell ref="A126:F126"/>
    <mergeCell ref="A113:F113"/>
    <mergeCell ref="A120:F120"/>
    <mergeCell ref="A121:F121"/>
    <mergeCell ref="A122:F122"/>
    <mergeCell ref="A114:F114"/>
    <mergeCell ref="A115:F115"/>
    <mergeCell ref="A116:F116"/>
    <mergeCell ref="A134:F134"/>
    <mergeCell ref="A135:F135"/>
    <mergeCell ref="A128:F128"/>
    <mergeCell ref="A129:F129"/>
    <mergeCell ref="A130:F130"/>
    <mergeCell ref="A131:F131"/>
    <mergeCell ref="A132:F132"/>
    <mergeCell ref="A133:F133"/>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17" activePane="bottomLeft" state="frozen"/>
      <selection pane="topLeft" activeCell="A1" sqref="A1"/>
      <selection pane="bottomLeft" activeCell="A3" sqref="A3:I3"/>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4" t="s">
        <v>320</v>
      </c>
      <c r="B2" s="420"/>
      <c r="C2" s="420"/>
      <c r="D2" s="420"/>
      <c r="E2" s="420"/>
      <c r="F2" s="420"/>
      <c r="G2" s="420"/>
      <c r="H2" s="420"/>
      <c r="I2" s="421"/>
      <c r="J2" s="392" t="s">
        <v>1210</v>
      </c>
      <c r="Q2" s="70">
        <f>IF(OR(MIN(I8:I113)&lt;0,MAX(I8:I113)&gt;0),1,0)</f>
        <v>1</v>
      </c>
      <c r="R2" s="69" t="s">
        <v>1204</v>
      </c>
    </row>
    <row r="3" spans="1:18" s="2" customFormat="1" ht="19.5" customHeight="1" thickBot="1">
      <c r="A3" s="397" t="str">
        <f>"za razdoblje "&amp;IF(RefStr!C4&lt;&gt;"",TEXT(RefStr!C4,"DD.MM.YYYY."),"__.__.____.")&amp;" do "&amp;IF(RefStr!F4&lt;&gt;"",TEXT(RefStr!F4,"DD.MM.YYYY."),"__.__.____.")</f>
        <v>za razdoblje 01.01.2021. do 31.12.2021.</v>
      </c>
      <c r="B3" s="422"/>
      <c r="C3" s="422"/>
      <c r="D3" s="422"/>
      <c r="E3" s="422"/>
      <c r="F3" s="422"/>
      <c r="G3" s="422"/>
      <c r="H3" s="422"/>
      <c r="I3" s="423"/>
      <c r="J3" s="393"/>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34347571917; AQUAPARK ZELINA D.O.O.</v>
      </c>
      <c r="B5" s="418"/>
      <c r="C5" s="418"/>
      <c r="D5" s="418"/>
      <c r="E5" s="418"/>
      <c r="F5" s="418"/>
      <c r="G5" s="418"/>
      <c r="H5" s="418"/>
      <c r="I5" s="418"/>
      <c r="J5" s="419"/>
      <c r="Q5" s="2">
        <f>IF(OR(MIN(I85:I87,I111:I113)&lt;0,MAX(I85:I87,I111:I113)&gt;0),1,0)</f>
        <v>0</v>
      </c>
      <c r="R5" s="69" t="s">
        <v>1206</v>
      </c>
    </row>
    <row r="6" spans="1:18" s="2" customFormat="1" ht="24.75" customHeight="1" thickBot="1">
      <c r="A6" s="403" t="s">
        <v>955</v>
      </c>
      <c r="B6" s="404"/>
      <c r="C6" s="404"/>
      <c r="D6" s="404"/>
      <c r="E6" s="404"/>
      <c r="F6" s="404"/>
      <c r="G6" s="93" t="s">
        <v>633</v>
      </c>
      <c r="H6" s="93" t="s">
        <v>2275</v>
      </c>
      <c r="I6" s="98" t="s">
        <v>19</v>
      </c>
      <c r="J6" s="99" t="s">
        <v>20</v>
      </c>
      <c r="Q6" s="2">
        <f>IF(OR(MIN(J85:J87,J111:J113)&lt;0,MAX(J85:J87,J111:J113)&gt;0),1,0)</f>
        <v>0</v>
      </c>
      <c r="R6" s="69" t="s">
        <v>1207</v>
      </c>
    </row>
    <row r="7" spans="1:18" s="2" customFormat="1" ht="13.5" customHeight="1">
      <c r="A7" s="405">
        <v>1</v>
      </c>
      <c r="B7" s="406"/>
      <c r="C7" s="406"/>
      <c r="D7" s="406"/>
      <c r="E7" s="406"/>
      <c r="F7" s="406"/>
      <c r="G7" s="101">
        <v>2</v>
      </c>
      <c r="H7" s="101">
        <v>3</v>
      </c>
      <c r="I7" s="100">
        <v>4</v>
      </c>
      <c r="J7" s="102">
        <v>5</v>
      </c>
      <c r="Q7" s="2">
        <f>IF(OR(MIN(RDG!I89:J109)&lt;0,MAX(RDG!I89:J109)&gt;0),1,0)</f>
        <v>0</v>
      </c>
      <c r="R7" s="69" t="s">
        <v>634</v>
      </c>
    </row>
    <row r="8" spans="1:18" s="2" customFormat="1" ht="14.25" customHeight="1">
      <c r="A8" s="414" t="s">
        <v>2491</v>
      </c>
      <c r="B8" s="414"/>
      <c r="C8" s="414"/>
      <c r="D8" s="414"/>
      <c r="E8" s="414"/>
      <c r="F8" s="414"/>
      <c r="G8" s="13">
        <v>127</v>
      </c>
      <c r="H8" s="14"/>
      <c r="I8" s="80">
        <f>SUM(I9:I13)</f>
        <v>0</v>
      </c>
      <c r="J8" s="80">
        <f>SUM(J9:J13)</f>
        <v>0</v>
      </c>
      <c r="Q8" s="2">
        <f>IF(OR(MIN(I70:J75)&lt;&gt;0,MAX(I70:J75)&lt;&gt;0),1,0)</f>
        <v>0</v>
      </c>
      <c r="R8" s="69" t="s">
        <v>1215</v>
      </c>
    </row>
    <row r="9" spans="1:10" s="2" customFormat="1" ht="14.25" customHeight="1">
      <c r="A9" s="387" t="s">
        <v>347</v>
      </c>
      <c r="B9" s="387"/>
      <c r="C9" s="387"/>
      <c r="D9" s="387"/>
      <c r="E9" s="387"/>
      <c r="F9" s="387"/>
      <c r="G9" s="15">
        <v>128</v>
      </c>
      <c r="H9" s="16"/>
      <c r="I9" s="67"/>
      <c r="J9" s="67"/>
    </row>
    <row r="10" spans="1:10" s="2" customFormat="1" ht="14.25" customHeight="1">
      <c r="A10" s="387" t="s">
        <v>964</v>
      </c>
      <c r="B10" s="387"/>
      <c r="C10" s="387"/>
      <c r="D10" s="387"/>
      <c r="E10" s="387"/>
      <c r="F10" s="387"/>
      <c r="G10" s="15">
        <v>129</v>
      </c>
      <c r="H10" s="16"/>
      <c r="I10" s="67"/>
      <c r="J10" s="67"/>
    </row>
    <row r="11" spans="1:10" s="2" customFormat="1" ht="14.25" customHeight="1">
      <c r="A11" s="387" t="s">
        <v>1086</v>
      </c>
      <c r="B11" s="387"/>
      <c r="C11" s="387"/>
      <c r="D11" s="387"/>
      <c r="E11" s="387"/>
      <c r="F11" s="387"/>
      <c r="G11" s="15">
        <v>130</v>
      </c>
      <c r="H11" s="16"/>
      <c r="I11" s="67"/>
      <c r="J11" s="67"/>
    </row>
    <row r="12" spans="1:10" s="2" customFormat="1" ht="14.25" customHeight="1">
      <c r="A12" s="387" t="s">
        <v>1087</v>
      </c>
      <c r="B12" s="387"/>
      <c r="C12" s="387"/>
      <c r="D12" s="387"/>
      <c r="E12" s="387"/>
      <c r="F12" s="387"/>
      <c r="G12" s="15">
        <v>131</v>
      </c>
      <c r="H12" s="16"/>
      <c r="I12" s="67"/>
      <c r="J12" s="67"/>
    </row>
    <row r="13" spans="1:10" s="2" customFormat="1" ht="14.25" customHeight="1">
      <c r="A13" s="387" t="s">
        <v>2922</v>
      </c>
      <c r="B13" s="387"/>
      <c r="C13" s="387"/>
      <c r="D13" s="387"/>
      <c r="E13" s="387"/>
      <c r="F13" s="387"/>
      <c r="G13" s="15">
        <v>132</v>
      </c>
      <c r="H13" s="16"/>
      <c r="I13" s="67"/>
      <c r="J13" s="67"/>
    </row>
    <row r="14" spans="1:10" s="2" customFormat="1" ht="14.25" customHeight="1">
      <c r="A14" s="385" t="s">
        <v>2492</v>
      </c>
      <c r="B14" s="385"/>
      <c r="C14" s="385"/>
      <c r="D14" s="385"/>
      <c r="E14" s="385"/>
      <c r="F14" s="385"/>
      <c r="G14" s="15">
        <v>133</v>
      </c>
      <c r="H14" s="16"/>
      <c r="I14" s="66">
        <f>I15+I16+I20+I24+I25+I26+I29+I36</f>
        <v>1057</v>
      </c>
      <c r="J14" s="66">
        <f>J15+J16+J20+J24+J25+J26+J29+J36</f>
        <v>1067</v>
      </c>
    </row>
    <row r="15" spans="1:12" s="2" customFormat="1" ht="14.25" customHeight="1">
      <c r="A15" s="387" t="s">
        <v>1005</v>
      </c>
      <c r="B15" s="387"/>
      <c r="C15" s="387"/>
      <c r="D15" s="387"/>
      <c r="E15" s="387"/>
      <c r="F15" s="387"/>
      <c r="G15" s="15">
        <v>134</v>
      </c>
      <c r="H15" s="16"/>
      <c r="I15" s="67"/>
      <c r="J15" s="67"/>
      <c r="L15" s="2" t="s">
        <v>1209</v>
      </c>
    </row>
    <row r="16" spans="1:10" s="2" customFormat="1" ht="14.25" customHeight="1">
      <c r="A16" s="387" t="s">
        <v>2493</v>
      </c>
      <c r="B16" s="387"/>
      <c r="C16" s="387"/>
      <c r="D16" s="387"/>
      <c r="E16" s="387"/>
      <c r="F16" s="387"/>
      <c r="G16" s="15">
        <v>135</v>
      </c>
      <c r="H16" s="16"/>
      <c r="I16" s="66">
        <f>SUM(I17:I19)</f>
        <v>0</v>
      </c>
      <c r="J16" s="66">
        <f>SUM(J17:J19)</f>
        <v>0</v>
      </c>
    </row>
    <row r="17" spans="1:10" s="2" customFormat="1" ht="14.25" customHeight="1">
      <c r="A17" s="413" t="s">
        <v>1273</v>
      </c>
      <c r="B17" s="413"/>
      <c r="C17" s="413"/>
      <c r="D17" s="413"/>
      <c r="E17" s="413"/>
      <c r="F17" s="413"/>
      <c r="G17" s="15">
        <v>136</v>
      </c>
      <c r="H17" s="16"/>
      <c r="I17" s="67"/>
      <c r="J17" s="67"/>
    </row>
    <row r="18" spans="1:10" s="2" customFormat="1" ht="14.25" customHeight="1">
      <c r="A18" s="413" t="s">
        <v>1274</v>
      </c>
      <c r="B18" s="413"/>
      <c r="C18" s="413"/>
      <c r="D18" s="413"/>
      <c r="E18" s="413"/>
      <c r="F18" s="413"/>
      <c r="G18" s="15">
        <v>137</v>
      </c>
      <c r="H18" s="16"/>
      <c r="I18" s="67"/>
      <c r="J18" s="67"/>
    </row>
    <row r="19" spans="1:10" s="2" customFormat="1" ht="14.25" customHeight="1">
      <c r="A19" s="413" t="s">
        <v>2959</v>
      </c>
      <c r="B19" s="413"/>
      <c r="C19" s="413"/>
      <c r="D19" s="413"/>
      <c r="E19" s="413"/>
      <c r="F19" s="413"/>
      <c r="G19" s="15">
        <v>138</v>
      </c>
      <c r="H19" s="16"/>
      <c r="I19" s="67"/>
      <c r="J19" s="67"/>
    </row>
    <row r="20" spans="1:10" s="2" customFormat="1" ht="14.25" customHeight="1">
      <c r="A20" s="387" t="s">
        <v>2494</v>
      </c>
      <c r="B20" s="387"/>
      <c r="C20" s="387"/>
      <c r="D20" s="387"/>
      <c r="E20" s="387"/>
      <c r="F20" s="387"/>
      <c r="G20" s="15">
        <v>139</v>
      </c>
      <c r="H20" s="16"/>
      <c r="I20" s="66">
        <f>SUM(I21:I23)</f>
        <v>0</v>
      </c>
      <c r="J20" s="66">
        <f>SUM(J21:J23)</f>
        <v>0</v>
      </c>
    </row>
    <row r="21" spans="1:10" s="2" customFormat="1" ht="14.25" customHeight="1">
      <c r="A21" s="413" t="s">
        <v>960</v>
      </c>
      <c r="B21" s="413"/>
      <c r="C21" s="413"/>
      <c r="D21" s="413"/>
      <c r="E21" s="413"/>
      <c r="F21" s="413"/>
      <c r="G21" s="15">
        <v>140</v>
      </c>
      <c r="H21" s="16"/>
      <c r="I21" s="67"/>
      <c r="J21" s="67"/>
    </row>
    <row r="22" spans="1:10" s="2" customFormat="1" ht="14.25" customHeight="1">
      <c r="A22" s="413" t="s">
        <v>1883</v>
      </c>
      <c r="B22" s="413"/>
      <c r="C22" s="413"/>
      <c r="D22" s="413"/>
      <c r="E22" s="413"/>
      <c r="F22" s="413"/>
      <c r="G22" s="15">
        <v>141</v>
      </c>
      <c r="H22" s="16"/>
      <c r="I22" s="67"/>
      <c r="J22" s="67"/>
    </row>
    <row r="23" spans="1:10" s="2" customFormat="1" ht="14.25" customHeight="1">
      <c r="A23" s="413" t="s">
        <v>1884</v>
      </c>
      <c r="B23" s="413"/>
      <c r="C23" s="413"/>
      <c r="D23" s="413"/>
      <c r="E23" s="413"/>
      <c r="F23" s="413"/>
      <c r="G23" s="15">
        <v>142</v>
      </c>
      <c r="H23" s="16"/>
      <c r="I23" s="67"/>
      <c r="J23" s="67"/>
    </row>
    <row r="24" spans="1:10" s="2" customFormat="1" ht="14.25" customHeight="1">
      <c r="A24" s="387" t="s">
        <v>1006</v>
      </c>
      <c r="B24" s="387"/>
      <c r="C24" s="387"/>
      <c r="D24" s="387"/>
      <c r="E24" s="387"/>
      <c r="F24" s="387"/>
      <c r="G24" s="15">
        <v>143</v>
      </c>
      <c r="H24" s="16"/>
      <c r="I24" s="67"/>
      <c r="J24" s="67"/>
    </row>
    <row r="25" spans="1:10" s="2" customFormat="1" ht="14.25" customHeight="1">
      <c r="A25" s="387" t="s">
        <v>1007</v>
      </c>
      <c r="B25" s="387"/>
      <c r="C25" s="387"/>
      <c r="D25" s="387"/>
      <c r="E25" s="387"/>
      <c r="F25" s="387"/>
      <c r="G25" s="15">
        <v>144</v>
      </c>
      <c r="H25" s="16"/>
      <c r="I25" s="67"/>
      <c r="J25" s="67"/>
    </row>
    <row r="26" spans="1:12" s="2" customFormat="1" ht="14.25" customHeight="1">
      <c r="A26" s="387" t="s">
        <v>2495</v>
      </c>
      <c r="B26" s="387"/>
      <c r="C26" s="387"/>
      <c r="D26" s="387"/>
      <c r="E26" s="387"/>
      <c r="F26" s="387"/>
      <c r="G26" s="15">
        <v>145</v>
      </c>
      <c r="H26" s="16"/>
      <c r="I26" s="66">
        <f>SUM(I27:I28)</f>
        <v>0</v>
      </c>
      <c r="J26" s="66">
        <f>SUM(J27:J28)</f>
        <v>0</v>
      </c>
      <c r="L26" s="2" t="s">
        <v>1209</v>
      </c>
    </row>
    <row r="27" spans="1:12" s="2" customFormat="1" ht="14.25" customHeight="1">
      <c r="A27" s="413" t="s">
        <v>1275</v>
      </c>
      <c r="B27" s="413"/>
      <c r="C27" s="413"/>
      <c r="D27" s="413"/>
      <c r="E27" s="413"/>
      <c r="F27" s="413"/>
      <c r="G27" s="15">
        <v>146</v>
      </c>
      <c r="H27" s="16"/>
      <c r="I27" s="67"/>
      <c r="J27" s="67"/>
      <c r="L27" s="2" t="s">
        <v>1209</v>
      </c>
    </row>
    <row r="28" spans="1:12" s="2" customFormat="1" ht="14.25" customHeight="1">
      <c r="A28" s="413" t="s">
        <v>1276</v>
      </c>
      <c r="B28" s="413"/>
      <c r="C28" s="413"/>
      <c r="D28" s="413"/>
      <c r="E28" s="413"/>
      <c r="F28" s="413"/>
      <c r="G28" s="15">
        <v>147</v>
      </c>
      <c r="H28" s="16"/>
      <c r="I28" s="67"/>
      <c r="J28" s="67"/>
      <c r="L28" s="2" t="s">
        <v>1209</v>
      </c>
    </row>
    <row r="29" spans="1:12" s="2" customFormat="1" ht="14.25" customHeight="1">
      <c r="A29" s="387" t="s">
        <v>2496</v>
      </c>
      <c r="B29" s="387"/>
      <c r="C29" s="387"/>
      <c r="D29" s="387"/>
      <c r="E29" s="387"/>
      <c r="F29" s="387"/>
      <c r="G29" s="15">
        <v>148</v>
      </c>
      <c r="H29" s="16"/>
      <c r="I29" s="66">
        <f>SUM(I30:I35)</f>
        <v>0</v>
      </c>
      <c r="J29" s="66">
        <f>SUM(J30:J35)</f>
        <v>0</v>
      </c>
      <c r="L29" s="2" t="s">
        <v>1209</v>
      </c>
    </row>
    <row r="30" spans="1:12" s="2" customFormat="1" ht="14.25" customHeight="1">
      <c r="A30" s="413" t="s">
        <v>1277</v>
      </c>
      <c r="B30" s="413"/>
      <c r="C30" s="413"/>
      <c r="D30" s="413"/>
      <c r="E30" s="413"/>
      <c r="F30" s="413"/>
      <c r="G30" s="15">
        <v>149</v>
      </c>
      <c r="H30" s="16"/>
      <c r="I30" s="67"/>
      <c r="J30" s="67"/>
      <c r="L30" s="2" t="s">
        <v>1209</v>
      </c>
    </row>
    <row r="31" spans="1:12" s="2" customFormat="1" ht="14.25" customHeight="1">
      <c r="A31" s="413" t="s">
        <v>1278</v>
      </c>
      <c r="B31" s="413"/>
      <c r="C31" s="413"/>
      <c r="D31" s="413"/>
      <c r="E31" s="413"/>
      <c r="F31" s="413"/>
      <c r="G31" s="15">
        <v>150</v>
      </c>
      <c r="H31" s="16"/>
      <c r="I31" s="67"/>
      <c r="J31" s="67"/>
      <c r="L31" s="2" t="s">
        <v>1209</v>
      </c>
    </row>
    <row r="32" spans="1:12" s="2" customFormat="1" ht="14.25" customHeight="1">
      <c r="A32" s="413" t="s">
        <v>1279</v>
      </c>
      <c r="B32" s="413"/>
      <c r="C32" s="413"/>
      <c r="D32" s="413"/>
      <c r="E32" s="413"/>
      <c r="F32" s="413"/>
      <c r="G32" s="15">
        <v>151</v>
      </c>
      <c r="H32" s="16"/>
      <c r="I32" s="67"/>
      <c r="J32" s="67"/>
      <c r="L32" s="2" t="s">
        <v>1209</v>
      </c>
    </row>
    <row r="33" spans="1:12" s="2" customFormat="1" ht="14.25" customHeight="1">
      <c r="A33" s="413" t="s">
        <v>1280</v>
      </c>
      <c r="B33" s="413"/>
      <c r="C33" s="413"/>
      <c r="D33" s="413"/>
      <c r="E33" s="413"/>
      <c r="F33" s="413"/>
      <c r="G33" s="15">
        <v>152</v>
      </c>
      <c r="H33" s="16"/>
      <c r="I33" s="67"/>
      <c r="J33" s="67"/>
      <c r="L33" s="2" t="s">
        <v>1209</v>
      </c>
    </row>
    <row r="34" spans="1:12" s="2" customFormat="1" ht="14.25" customHeight="1">
      <c r="A34" s="413" t="s">
        <v>1281</v>
      </c>
      <c r="B34" s="413"/>
      <c r="C34" s="413"/>
      <c r="D34" s="413"/>
      <c r="E34" s="413"/>
      <c r="F34" s="413"/>
      <c r="G34" s="15">
        <v>153</v>
      </c>
      <c r="H34" s="16"/>
      <c r="I34" s="67"/>
      <c r="J34" s="67"/>
      <c r="L34" s="2" t="s">
        <v>1209</v>
      </c>
    </row>
    <row r="35" spans="1:12" s="2" customFormat="1" ht="14.25" customHeight="1">
      <c r="A35" s="413" t="s">
        <v>1282</v>
      </c>
      <c r="B35" s="413"/>
      <c r="C35" s="413"/>
      <c r="D35" s="413"/>
      <c r="E35" s="413"/>
      <c r="F35" s="413"/>
      <c r="G35" s="15">
        <v>154</v>
      </c>
      <c r="H35" s="16"/>
      <c r="I35" s="67"/>
      <c r="J35" s="67"/>
      <c r="L35" s="2" t="s">
        <v>1209</v>
      </c>
    </row>
    <row r="36" spans="1:10" s="2" customFormat="1" ht="14.25" customHeight="1">
      <c r="A36" s="387" t="s">
        <v>147</v>
      </c>
      <c r="B36" s="387"/>
      <c r="C36" s="387"/>
      <c r="D36" s="387"/>
      <c r="E36" s="387"/>
      <c r="F36" s="387"/>
      <c r="G36" s="15">
        <v>155</v>
      </c>
      <c r="H36" s="16"/>
      <c r="I36" s="67">
        <v>1057</v>
      </c>
      <c r="J36" s="67">
        <v>1067</v>
      </c>
    </row>
    <row r="37" spans="1:10" s="2" customFormat="1" ht="14.25" customHeight="1">
      <c r="A37" s="385" t="s">
        <v>2497</v>
      </c>
      <c r="B37" s="385"/>
      <c r="C37" s="385"/>
      <c r="D37" s="385"/>
      <c r="E37" s="385"/>
      <c r="F37" s="385"/>
      <c r="G37" s="15">
        <v>156</v>
      </c>
      <c r="H37" s="16"/>
      <c r="I37" s="66">
        <f>SUM(I38:I47)</f>
        <v>0</v>
      </c>
      <c r="J37" s="66">
        <f>SUM(J38:J47)</f>
        <v>0</v>
      </c>
    </row>
    <row r="38" spans="1:10" s="2" customFormat="1" ht="14.25" customHeight="1">
      <c r="A38" s="387" t="s">
        <v>346</v>
      </c>
      <c r="B38" s="387"/>
      <c r="C38" s="387"/>
      <c r="D38" s="387"/>
      <c r="E38" s="387"/>
      <c r="F38" s="387"/>
      <c r="G38" s="15">
        <v>157</v>
      </c>
      <c r="H38" s="16"/>
      <c r="I38" s="67"/>
      <c r="J38" s="67"/>
    </row>
    <row r="39" spans="1:10" s="2" customFormat="1" ht="24" customHeight="1">
      <c r="A39" s="387" t="s">
        <v>2361</v>
      </c>
      <c r="B39" s="387"/>
      <c r="C39" s="387"/>
      <c r="D39" s="387"/>
      <c r="E39" s="387"/>
      <c r="F39" s="387"/>
      <c r="G39" s="15">
        <v>158</v>
      </c>
      <c r="H39" s="16"/>
      <c r="I39" s="67"/>
      <c r="J39" s="67"/>
    </row>
    <row r="40" spans="1:10" s="2" customFormat="1" ht="24" customHeight="1">
      <c r="A40" s="387" t="s">
        <v>345</v>
      </c>
      <c r="B40" s="387"/>
      <c r="C40" s="387"/>
      <c r="D40" s="387"/>
      <c r="E40" s="387"/>
      <c r="F40" s="387"/>
      <c r="G40" s="15">
        <v>159</v>
      </c>
      <c r="H40" s="16"/>
      <c r="I40" s="67"/>
      <c r="J40" s="67"/>
    </row>
    <row r="41" spans="1:10" s="2" customFormat="1" ht="14.25" customHeight="1">
      <c r="A41" s="387" t="s">
        <v>2964</v>
      </c>
      <c r="B41" s="387"/>
      <c r="C41" s="387"/>
      <c r="D41" s="387"/>
      <c r="E41" s="387"/>
      <c r="F41" s="387"/>
      <c r="G41" s="15">
        <v>160</v>
      </c>
      <c r="H41" s="16"/>
      <c r="I41" s="67"/>
      <c r="J41" s="67"/>
    </row>
    <row r="42" spans="1:10" s="2" customFormat="1" ht="24" customHeight="1">
      <c r="A42" s="387" t="s">
        <v>2362</v>
      </c>
      <c r="B42" s="387"/>
      <c r="C42" s="387"/>
      <c r="D42" s="387"/>
      <c r="E42" s="387"/>
      <c r="F42" s="387"/>
      <c r="G42" s="15">
        <v>161</v>
      </c>
      <c r="H42" s="16"/>
      <c r="I42" s="67"/>
      <c r="J42" s="67"/>
    </row>
    <row r="43" spans="1:10" s="2" customFormat="1" ht="14.25" customHeight="1">
      <c r="A43" s="387" t="s">
        <v>2963</v>
      </c>
      <c r="B43" s="387"/>
      <c r="C43" s="387"/>
      <c r="D43" s="387"/>
      <c r="E43" s="387"/>
      <c r="F43" s="387"/>
      <c r="G43" s="15">
        <v>162</v>
      </c>
      <c r="H43" s="16"/>
      <c r="I43" s="67"/>
      <c r="J43" s="67"/>
    </row>
    <row r="44" spans="1:10" s="2" customFormat="1" ht="14.25" customHeight="1">
      <c r="A44" s="387" t="s">
        <v>2962</v>
      </c>
      <c r="B44" s="387"/>
      <c r="C44" s="387"/>
      <c r="D44" s="387"/>
      <c r="E44" s="387"/>
      <c r="F44" s="387"/>
      <c r="G44" s="15">
        <v>163</v>
      </c>
      <c r="H44" s="16"/>
      <c r="I44" s="67"/>
      <c r="J44" s="67"/>
    </row>
    <row r="45" spans="1:10" s="2" customFormat="1" ht="14.25" customHeight="1">
      <c r="A45" s="387" t="s">
        <v>2961</v>
      </c>
      <c r="B45" s="387"/>
      <c r="C45" s="387"/>
      <c r="D45" s="387"/>
      <c r="E45" s="387"/>
      <c r="F45" s="387"/>
      <c r="G45" s="15">
        <v>164</v>
      </c>
      <c r="H45" s="16"/>
      <c r="I45" s="67"/>
      <c r="J45" s="67"/>
    </row>
    <row r="46" spans="1:10" s="2" customFormat="1" ht="14.25" customHeight="1">
      <c r="A46" s="387" t="s">
        <v>2960</v>
      </c>
      <c r="B46" s="387"/>
      <c r="C46" s="387"/>
      <c r="D46" s="387"/>
      <c r="E46" s="387"/>
      <c r="F46" s="387"/>
      <c r="G46" s="15">
        <v>165</v>
      </c>
      <c r="H46" s="16"/>
      <c r="I46" s="67"/>
      <c r="J46" s="67"/>
    </row>
    <row r="47" spans="1:10" s="2" customFormat="1" ht="14.25" customHeight="1">
      <c r="A47" s="387" t="s">
        <v>2956</v>
      </c>
      <c r="B47" s="387"/>
      <c r="C47" s="387"/>
      <c r="D47" s="387"/>
      <c r="E47" s="387"/>
      <c r="F47" s="387"/>
      <c r="G47" s="15">
        <v>166</v>
      </c>
      <c r="H47" s="16"/>
      <c r="I47" s="67"/>
      <c r="J47" s="67"/>
    </row>
    <row r="48" spans="1:10" s="2" customFormat="1" ht="14.25" customHeight="1">
      <c r="A48" s="385" t="s">
        <v>2498</v>
      </c>
      <c r="B48" s="385"/>
      <c r="C48" s="385"/>
      <c r="D48" s="385"/>
      <c r="E48" s="385"/>
      <c r="F48" s="385"/>
      <c r="G48" s="15">
        <v>167</v>
      </c>
      <c r="H48" s="16"/>
      <c r="I48" s="66">
        <f>SUM(I49:I55)</f>
        <v>0</v>
      </c>
      <c r="J48" s="66">
        <f>SUM(J49:J55)</f>
        <v>0</v>
      </c>
    </row>
    <row r="49" spans="1:10" s="2" customFormat="1" ht="14.25" customHeight="1">
      <c r="A49" s="387" t="s">
        <v>2957</v>
      </c>
      <c r="B49" s="387"/>
      <c r="C49" s="387"/>
      <c r="D49" s="387"/>
      <c r="E49" s="387"/>
      <c r="F49" s="387"/>
      <c r="G49" s="15">
        <v>168</v>
      </c>
      <c r="H49" s="16"/>
      <c r="I49" s="67"/>
      <c r="J49" s="67"/>
    </row>
    <row r="50" spans="1:10" s="2" customFormat="1" ht="14.25" customHeight="1">
      <c r="A50" s="408" t="s">
        <v>1088</v>
      </c>
      <c r="B50" s="408"/>
      <c r="C50" s="408"/>
      <c r="D50" s="408"/>
      <c r="E50" s="408"/>
      <c r="F50" s="408"/>
      <c r="G50" s="15">
        <v>169</v>
      </c>
      <c r="H50" s="16"/>
      <c r="I50" s="67"/>
      <c r="J50" s="67"/>
    </row>
    <row r="51" spans="1:10" s="2" customFormat="1" ht="14.25" customHeight="1">
      <c r="A51" s="408" t="s">
        <v>1089</v>
      </c>
      <c r="B51" s="408"/>
      <c r="C51" s="408"/>
      <c r="D51" s="408"/>
      <c r="E51" s="408"/>
      <c r="F51" s="408"/>
      <c r="G51" s="15">
        <v>170</v>
      </c>
      <c r="H51" s="16"/>
      <c r="I51" s="67"/>
      <c r="J51" s="67"/>
    </row>
    <row r="52" spans="1:10" s="2" customFormat="1" ht="14.25" customHeight="1">
      <c r="A52" s="408" t="s">
        <v>1090</v>
      </c>
      <c r="B52" s="408"/>
      <c r="C52" s="408"/>
      <c r="D52" s="408"/>
      <c r="E52" s="408"/>
      <c r="F52" s="408"/>
      <c r="G52" s="15">
        <v>171</v>
      </c>
      <c r="H52" s="16"/>
      <c r="I52" s="67"/>
      <c r="J52" s="67"/>
    </row>
    <row r="53" spans="1:10" s="2" customFormat="1" ht="14.25" customHeight="1">
      <c r="A53" s="408" t="s">
        <v>1091</v>
      </c>
      <c r="B53" s="408"/>
      <c r="C53" s="408"/>
      <c r="D53" s="408"/>
      <c r="E53" s="408"/>
      <c r="F53" s="408"/>
      <c r="G53" s="15">
        <v>172</v>
      </c>
      <c r="H53" s="16"/>
      <c r="I53" s="67"/>
      <c r="J53" s="67"/>
    </row>
    <row r="54" spans="1:12" s="2" customFormat="1" ht="14.25" customHeight="1">
      <c r="A54" s="408" t="s">
        <v>1092</v>
      </c>
      <c r="B54" s="408"/>
      <c r="C54" s="408"/>
      <c r="D54" s="408"/>
      <c r="E54" s="408"/>
      <c r="F54" s="408"/>
      <c r="G54" s="15">
        <v>173</v>
      </c>
      <c r="H54" s="16"/>
      <c r="I54" s="67"/>
      <c r="J54" s="67"/>
      <c r="L54" s="2" t="s">
        <v>1209</v>
      </c>
    </row>
    <row r="55" spans="1:10" s="2" customFormat="1" ht="14.25" customHeight="1">
      <c r="A55" s="408" t="s">
        <v>1093</v>
      </c>
      <c r="B55" s="408"/>
      <c r="C55" s="408"/>
      <c r="D55" s="408"/>
      <c r="E55" s="408"/>
      <c r="F55" s="408"/>
      <c r="G55" s="15">
        <v>174</v>
      </c>
      <c r="H55" s="16"/>
      <c r="I55" s="67"/>
      <c r="J55" s="67"/>
    </row>
    <row r="56" spans="1:10" s="2" customFormat="1" ht="24.75" customHeight="1">
      <c r="A56" s="385" t="s">
        <v>2363</v>
      </c>
      <c r="B56" s="385"/>
      <c r="C56" s="385"/>
      <c r="D56" s="385"/>
      <c r="E56" s="385"/>
      <c r="F56" s="385"/>
      <c r="G56" s="15">
        <v>175</v>
      </c>
      <c r="H56" s="16"/>
      <c r="I56" s="67"/>
      <c r="J56" s="67"/>
    </row>
    <row r="57" spans="1:10" s="2" customFormat="1" ht="14.25" customHeight="1">
      <c r="A57" s="385" t="s">
        <v>1094</v>
      </c>
      <c r="B57" s="385"/>
      <c r="C57" s="385"/>
      <c r="D57" s="385"/>
      <c r="E57" s="385"/>
      <c r="F57" s="385"/>
      <c r="G57" s="15">
        <v>176</v>
      </c>
      <c r="H57" s="16"/>
      <c r="I57" s="67"/>
      <c r="J57" s="67"/>
    </row>
    <row r="58" spans="1:10" s="2" customFormat="1" ht="24.75" customHeight="1">
      <c r="A58" s="385" t="s">
        <v>1095</v>
      </c>
      <c r="B58" s="385"/>
      <c r="C58" s="385"/>
      <c r="D58" s="385"/>
      <c r="E58" s="385"/>
      <c r="F58" s="385"/>
      <c r="G58" s="15">
        <v>177</v>
      </c>
      <c r="H58" s="16"/>
      <c r="I58" s="67"/>
      <c r="J58" s="67"/>
    </row>
    <row r="59" spans="1:10" s="2" customFormat="1" ht="14.25" customHeight="1">
      <c r="A59" s="385" t="s">
        <v>1096</v>
      </c>
      <c r="B59" s="385"/>
      <c r="C59" s="385"/>
      <c r="D59" s="385"/>
      <c r="E59" s="385"/>
      <c r="F59" s="385"/>
      <c r="G59" s="15">
        <v>178</v>
      </c>
      <c r="H59" s="16"/>
      <c r="I59" s="67"/>
      <c r="J59" s="67"/>
    </row>
    <row r="60" spans="1:10" s="2" customFormat="1" ht="14.25" customHeight="1">
      <c r="A60" s="385" t="s">
        <v>2499</v>
      </c>
      <c r="B60" s="385"/>
      <c r="C60" s="385"/>
      <c r="D60" s="385"/>
      <c r="E60" s="385"/>
      <c r="F60" s="385"/>
      <c r="G60" s="15">
        <v>179</v>
      </c>
      <c r="H60" s="16"/>
      <c r="I60" s="66">
        <f>I8+I37+I56+I57</f>
        <v>0</v>
      </c>
      <c r="J60" s="66">
        <f>J8+J37+J56+J57</f>
        <v>0</v>
      </c>
    </row>
    <row r="61" spans="1:10" s="2" customFormat="1" ht="14.25" customHeight="1">
      <c r="A61" s="385" t="s">
        <v>2500</v>
      </c>
      <c r="B61" s="385"/>
      <c r="C61" s="385"/>
      <c r="D61" s="385"/>
      <c r="E61" s="385"/>
      <c r="F61" s="385"/>
      <c r="G61" s="15">
        <v>180</v>
      </c>
      <c r="H61" s="16"/>
      <c r="I61" s="66">
        <f>I14+I48+I58+I59</f>
        <v>1057</v>
      </c>
      <c r="J61" s="66">
        <f>J14+J48+J58+J59</f>
        <v>1067</v>
      </c>
    </row>
    <row r="62" spans="1:12" s="2" customFormat="1" ht="14.25" customHeight="1">
      <c r="A62" s="385" t="s">
        <v>2501</v>
      </c>
      <c r="B62" s="385"/>
      <c r="C62" s="385"/>
      <c r="D62" s="385"/>
      <c r="E62" s="385"/>
      <c r="F62" s="385"/>
      <c r="G62" s="15">
        <v>181</v>
      </c>
      <c r="H62" s="16"/>
      <c r="I62" s="66">
        <f>I60-I61</f>
        <v>-1057</v>
      </c>
      <c r="J62" s="66">
        <f>J60-J61</f>
        <v>-1067</v>
      </c>
      <c r="L62" s="2" t="s">
        <v>1209</v>
      </c>
    </row>
    <row r="63" spans="1:10" s="2" customFormat="1" ht="14.25" customHeight="1">
      <c r="A63" s="408" t="s">
        <v>2502</v>
      </c>
      <c r="B63" s="408"/>
      <c r="C63" s="408"/>
      <c r="D63" s="408"/>
      <c r="E63" s="408"/>
      <c r="F63" s="408"/>
      <c r="G63" s="15">
        <v>182</v>
      </c>
      <c r="H63" s="16"/>
      <c r="I63" s="66">
        <f>IF(I60&gt;I61,I60-I61,0)</f>
        <v>0</v>
      </c>
      <c r="J63" s="66">
        <f>IF(J60&gt;J61,J60-J61,0)</f>
        <v>0</v>
      </c>
    </row>
    <row r="64" spans="1:10" s="2" customFormat="1" ht="14.25" customHeight="1">
      <c r="A64" s="408" t="s">
        <v>2503</v>
      </c>
      <c r="B64" s="408"/>
      <c r="C64" s="408"/>
      <c r="D64" s="408"/>
      <c r="E64" s="408"/>
      <c r="F64" s="408"/>
      <c r="G64" s="15">
        <v>183</v>
      </c>
      <c r="H64" s="16"/>
      <c r="I64" s="66">
        <f>IF(I61&gt;I60,I61-I60,0)</f>
        <v>1057</v>
      </c>
      <c r="J64" s="66">
        <f>IF(J61&gt;J60,J61-J60,0)</f>
        <v>1067</v>
      </c>
    </row>
    <row r="65" spans="1:12" s="2" customFormat="1" ht="14.25" customHeight="1">
      <c r="A65" s="385" t="s">
        <v>1238</v>
      </c>
      <c r="B65" s="385"/>
      <c r="C65" s="385"/>
      <c r="D65" s="385"/>
      <c r="E65" s="385"/>
      <c r="F65" s="385"/>
      <c r="G65" s="15">
        <v>184</v>
      </c>
      <c r="H65" s="16"/>
      <c r="I65" s="67"/>
      <c r="J65" s="67"/>
      <c r="L65" s="2" t="s">
        <v>1209</v>
      </c>
    </row>
    <row r="66" spans="1:12" s="2" customFormat="1" ht="14.25" customHeight="1">
      <c r="A66" s="385" t="s">
        <v>2504</v>
      </c>
      <c r="B66" s="385"/>
      <c r="C66" s="385"/>
      <c r="D66" s="385"/>
      <c r="E66" s="385"/>
      <c r="F66" s="385"/>
      <c r="G66" s="15">
        <v>185</v>
      </c>
      <c r="H66" s="16"/>
      <c r="I66" s="66">
        <f>I62-I65</f>
        <v>-1057</v>
      </c>
      <c r="J66" s="66">
        <f>J62-J65</f>
        <v>-1067</v>
      </c>
      <c r="L66" s="2" t="s">
        <v>1209</v>
      </c>
    </row>
    <row r="67" spans="1:10" s="2" customFormat="1" ht="14.25" customHeight="1">
      <c r="A67" s="408" t="s">
        <v>2505</v>
      </c>
      <c r="B67" s="408"/>
      <c r="C67" s="408"/>
      <c r="D67" s="408"/>
      <c r="E67" s="408"/>
      <c r="F67" s="408"/>
      <c r="G67" s="15">
        <v>186</v>
      </c>
      <c r="H67" s="16"/>
      <c r="I67" s="66">
        <f>IF(I66&gt;0,I66,0)</f>
        <v>0</v>
      </c>
      <c r="J67" s="66">
        <f>IF(J66&gt;0,J66,0)</f>
        <v>0</v>
      </c>
    </row>
    <row r="68" spans="1:10" s="2" customFormat="1" ht="14.25" customHeight="1">
      <c r="A68" s="412" t="s">
        <v>2506</v>
      </c>
      <c r="B68" s="412"/>
      <c r="C68" s="412"/>
      <c r="D68" s="412"/>
      <c r="E68" s="412"/>
      <c r="F68" s="412"/>
      <c r="G68" s="17">
        <v>187</v>
      </c>
      <c r="H68" s="18"/>
      <c r="I68" s="81">
        <f>IF(I66&lt;0,-I66,0)</f>
        <v>1057</v>
      </c>
      <c r="J68" s="81">
        <f>IF(J66&lt;0,-J66,0)</f>
        <v>1067</v>
      </c>
    </row>
    <row r="69" spans="1:10" s="2" customFormat="1" ht="14.25" customHeight="1">
      <c r="A69" s="388" t="s">
        <v>2958</v>
      </c>
      <c r="B69" s="388"/>
      <c r="C69" s="388"/>
      <c r="D69" s="388"/>
      <c r="E69" s="388"/>
      <c r="F69" s="388"/>
      <c r="G69" s="410"/>
      <c r="H69" s="410"/>
      <c r="I69" s="410"/>
      <c r="J69" s="410"/>
    </row>
    <row r="70" spans="1:12" s="2" customFormat="1" ht="25.5" customHeight="1">
      <c r="A70" s="385" t="s">
        <v>2507</v>
      </c>
      <c r="B70" s="385"/>
      <c r="C70" s="385"/>
      <c r="D70" s="385"/>
      <c r="E70" s="385"/>
      <c r="F70" s="385"/>
      <c r="G70" s="15">
        <v>188</v>
      </c>
      <c r="H70" s="16"/>
      <c r="I70" s="66">
        <f>I71-I72</f>
        <v>0</v>
      </c>
      <c r="J70" s="66">
        <f>J71-J72</f>
        <v>0</v>
      </c>
      <c r="L70" s="2" t="s">
        <v>1209</v>
      </c>
    </row>
    <row r="71" spans="1:10" s="2" customFormat="1" ht="14.25" customHeight="1">
      <c r="A71" s="408" t="s">
        <v>2425</v>
      </c>
      <c r="B71" s="408"/>
      <c r="C71" s="408"/>
      <c r="D71" s="408"/>
      <c r="E71" s="408"/>
      <c r="F71" s="408"/>
      <c r="G71" s="15">
        <v>189</v>
      </c>
      <c r="H71" s="16"/>
      <c r="I71" s="67"/>
      <c r="J71" s="67"/>
    </row>
    <row r="72" spans="1:10" s="2" customFormat="1" ht="14.25" customHeight="1">
      <c r="A72" s="408" t="s">
        <v>2426</v>
      </c>
      <c r="B72" s="408"/>
      <c r="C72" s="408"/>
      <c r="D72" s="408"/>
      <c r="E72" s="408"/>
      <c r="F72" s="408"/>
      <c r="G72" s="15">
        <v>190</v>
      </c>
      <c r="H72" s="16"/>
      <c r="I72" s="67"/>
      <c r="J72" s="67"/>
    </row>
    <row r="73" spans="1:12" s="2" customFormat="1" ht="14.25" customHeight="1">
      <c r="A73" s="385" t="s">
        <v>1097</v>
      </c>
      <c r="B73" s="385"/>
      <c r="C73" s="385"/>
      <c r="D73" s="385"/>
      <c r="E73" s="385"/>
      <c r="F73" s="385"/>
      <c r="G73" s="15">
        <v>191</v>
      </c>
      <c r="H73" s="16"/>
      <c r="I73" s="67"/>
      <c r="J73" s="67"/>
      <c r="L73" s="2" t="s">
        <v>1209</v>
      </c>
    </row>
    <row r="74" spans="1:10" s="2" customFormat="1" ht="14.25" customHeight="1">
      <c r="A74" s="408" t="s">
        <v>2508</v>
      </c>
      <c r="B74" s="408"/>
      <c r="C74" s="408"/>
      <c r="D74" s="408"/>
      <c r="E74" s="408"/>
      <c r="F74" s="408"/>
      <c r="G74" s="15">
        <v>192</v>
      </c>
      <c r="H74" s="16"/>
      <c r="I74" s="66">
        <f>IF(I70-I73&gt;0,I70-I73,0)</f>
        <v>0</v>
      </c>
      <c r="J74" s="66">
        <f>IF(J70-J73&gt;0,J70-J73,0)</f>
        <v>0</v>
      </c>
    </row>
    <row r="75" spans="1:10" s="2" customFormat="1" ht="14.25" customHeight="1">
      <c r="A75" s="412" t="s">
        <v>2509</v>
      </c>
      <c r="B75" s="412"/>
      <c r="C75" s="412"/>
      <c r="D75" s="412"/>
      <c r="E75" s="412"/>
      <c r="F75" s="412"/>
      <c r="G75" s="17">
        <v>193</v>
      </c>
      <c r="H75" s="18"/>
      <c r="I75" s="81">
        <f>IF(I73-I70&gt;0,I73-I70,0)</f>
        <v>0</v>
      </c>
      <c r="J75" s="81">
        <f>IF(J73-J70&gt;0,J73-J70,0)</f>
        <v>0</v>
      </c>
    </row>
    <row r="76" spans="1:10" s="2" customFormat="1" ht="14.25" customHeight="1">
      <c r="A76" s="388" t="s">
        <v>1098</v>
      </c>
      <c r="B76" s="388"/>
      <c r="C76" s="388"/>
      <c r="D76" s="388"/>
      <c r="E76" s="388"/>
      <c r="F76" s="388"/>
      <c r="G76" s="410"/>
      <c r="H76" s="410"/>
      <c r="I76" s="410"/>
      <c r="J76" s="410"/>
    </row>
    <row r="77" spans="1:12" s="2" customFormat="1" ht="14.25" customHeight="1">
      <c r="A77" s="385" t="s">
        <v>2510</v>
      </c>
      <c r="B77" s="385"/>
      <c r="C77" s="385"/>
      <c r="D77" s="385"/>
      <c r="E77" s="385"/>
      <c r="F77" s="385"/>
      <c r="G77" s="15">
        <v>194</v>
      </c>
      <c r="H77" s="16"/>
      <c r="I77" s="66">
        <f>(I62+I70)*$Q$8</f>
        <v>0</v>
      </c>
      <c r="J77" s="66">
        <f>(J62+J70)*$Q$8</f>
        <v>0</v>
      </c>
      <c r="L77" s="2" t="s">
        <v>1209</v>
      </c>
    </row>
    <row r="78" spans="1:10" s="2" customFormat="1" ht="14.25" customHeight="1">
      <c r="A78" s="408" t="s">
        <v>2511</v>
      </c>
      <c r="B78" s="408"/>
      <c r="C78" s="408"/>
      <c r="D78" s="408"/>
      <c r="E78" s="408"/>
      <c r="F78" s="408"/>
      <c r="G78" s="15">
        <v>195</v>
      </c>
      <c r="H78" s="16"/>
      <c r="I78" s="66">
        <f>IF(I77&gt;0,I77,0)</f>
        <v>0</v>
      </c>
      <c r="J78" s="66">
        <f>IF(J77&gt;0,J77,0)</f>
        <v>0</v>
      </c>
    </row>
    <row r="79" spans="1:10" s="2" customFormat="1" ht="14.25" customHeight="1">
      <c r="A79" s="408" t="s">
        <v>2512</v>
      </c>
      <c r="B79" s="408"/>
      <c r="C79" s="408"/>
      <c r="D79" s="408"/>
      <c r="E79" s="408"/>
      <c r="F79" s="408"/>
      <c r="G79" s="15">
        <v>196</v>
      </c>
      <c r="H79" s="16"/>
      <c r="I79" s="66">
        <f>IF(I77&lt;0,-I77,0)</f>
        <v>0</v>
      </c>
      <c r="J79" s="66">
        <f>IF(J77&lt;0,-J77,0)</f>
        <v>0</v>
      </c>
    </row>
    <row r="80" spans="1:12" s="2" customFormat="1" ht="14.25" customHeight="1">
      <c r="A80" s="385" t="s">
        <v>2513</v>
      </c>
      <c r="B80" s="385"/>
      <c r="C80" s="385"/>
      <c r="D80" s="385"/>
      <c r="E80" s="385"/>
      <c r="F80" s="385"/>
      <c r="G80" s="15">
        <v>197</v>
      </c>
      <c r="H80" s="16"/>
      <c r="I80" s="66">
        <f>(I73+I65)*$Q$8</f>
        <v>0</v>
      </c>
      <c r="J80" s="66">
        <f>(J73+J65)*$Q$8</f>
        <v>0</v>
      </c>
      <c r="L80" s="2" t="s">
        <v>1209</v>
      </c>
    </row>
    <row r="81" spans="1:12" s="2" customFormat="1" ht="14.25" customHeight="1">
      <c r="A81" s="385" t="s">
        <v>2514</v>
      </c>
      <c r="B81" s="385"/>
      <c r="C81" s="385"/>
      <c r="D81" s="385"/>
      <c r="E81" s="385"/>
      <c r="F81" s="385"/>
      <c r="G81" s="15">
        <v>198</v>
      </c>
      <c r="H81" s="16"/>
      <c r="I81" s="66">
        <f>I82-I83</f>
        <v>0</v>
      </c>
      <c r="J81" s="66">
        <f>J82-J83</f>
        <v>0</v>
      </c>
      <c r="L81" s="2" t="s">
        <v>1209</v>
      </c>
    </row>
    <row r="82" spans="1:10" s="2" customFormat="1" ht="14.25" customHeight="1">
      <c r="A82" s="408" t="s">
        <v>2515</v>
      </c>
      <c r="B82" s="408"/>
      <c r="C82" s="408"/>
      <c r="D82" s="408"/>
      <c r="E82" s="408"/>
      <c r="F82" s="408"/>
      <c r="G82" s="15">
        <v>199</v>
      </c>
      <c r="H82" s="16"/>
      <c r="I82" s="66">
        <f>IF(I77-I80&gt;0,I77-I80,0)</f>
        <v>0</v>
      </c>
      <c r="J82" s="66">
        <f>IF(J77-J80&gt;0,J77-J80,0)</f>
        <v>0</v>
      </c>
    </row>
    <row r="83" spans="1:10" s="2" customFormat="1" ht="14.25" customHeight="1">
      <c r="A83" s="412" t="s">
        <v>2516</v>
      </c>
      <c r="B83" s="412"/>
      <c r="C83" s="412"/>
      <c r="D83" s="412"/>
      <c r="E83" s="412"/>
      <c r="F83" s="412"/>
      <c r="G83" s="17">
        <v>200</v>
      </c>
      <c r="H83" s="18"/>
      <c r="I83" s="81">
        <f>IF(I77-I80&lt;0,I80-I77,0)</f>
        <v>0</v>
      </c>
      <c r="J83" s="81">
        <f>IF(J77-J80&lt;0,J80-J77,0)</f>
        <v>0</v>
      </c>
    </row>
    <row r="84" spans="1:10" s="2" customFormat="1" ht="14.25" customHeight="1">
      <c r="A84" s="388" t="s">
        <v>2609</v>
      </c>
      <c r="B84" s="388"/>
      <c r="C84" s="388"/>
      <c r="D84" s="388"/>
      <c r="E84" s="388"/>
      <c r="F84" s="388"/>
      <c r="G84" s="410"/>
      <c r="H84" s="410"/>
      <c r="I84" s="410"/>
      <c r="J84" s="410"/>
    </row>
    <row r="85" spans="1:12" s="2" customFormat="1" ht="14.25" customHeight="1">
      <c r="A85" s="409" t="s">
        <v>2517</v>
      </c>
      <c r="B85" s="409"/>
      <c r="C85" s="409"/>
      <c r="D85" s="409"/>
      <c r="E85" s="409"/>
      <c r="F85" s="409"/>
      <c r="G85" s="15">
        <v>201</v>
      </c>
      <c r="H85" s="16"/>
      <c r="I85" s="82">
        <f>SUM(I86:I87)</f>
        <v>0</v>
      </c>
      <c r="J85" s="82">
        <f>SUM(J86:J87)</f>
        <v>0</v>
      </c>
      <c r="L85" s="2" t="s">
        <v>1209</v>
      </c>
    </row>
    <row r="86" spans="1:12" s="2" customFormat="1" ht="14.25" customHeight="1">
      <c r="A86" s="407" t="s">
        <v>2427</v>
      </c>
      <c r="B86" s="407"/>
      <c r="C86" s="407"/>
      <c r="D86" s="407"/>
      <c r="E86" s="407"/>
      <c r="F86" s="407"/>
      <c r="G86" s="15">
        <v>202</v>
      </c>
      <c r="H86" s="16"/>
      <c r="I86" s="73"/>
      <c r="J86" s="73"/>
      <c r="L86" s="2" t="s">
        <v>1209</v>
      </c>
    </row>
    <row r="87" spans="1:12" s="2" customFormat="1" ht="14.25" customHeight="1">
      <c r="A87" s="424" t="s">
        <v>2710</v>
      </c>
      <c r="B87" s="424"/>
      <c r="C87" s="424"/>
      <c r="D87" s="424"/>
      <c r="E87" s="424"/>
      <c r="F87" s="424"/>
      <c r="G87" s="17">
        <v>203</v>
      </c>
      <c r="H87" s="18"/>
      <c r="I87" s="74"/>
      <c r="J87" s="74"/>
      <c r="L87" s="2" t="s">
        <v>1209</v>
      </c>
    </row>
    <row r="88" spans="1:10" s="2" customFormat="1" ht="14.25" customHeight="1">
      <c r="A88" s="415" t="s">
        <v>1506</v>
      </c>
      <c r="B88" s="415"/>
      <c r="C88" s="415"/>
      <c r="D88" s="415"/>
      <c r="E88" s="415"/>
      <c r="F88" s="415"/>
      <c r="G88" s="416"/>
      <c r="H88" s="416"/>
      <c r="I88" s="416"/>
      <c r="J88" s="416"/>
    </row>
    <row r="89" spans="1:12" s="2" customFormat="1" ht="14.25" customHeight="1">
      <c r="A89" s="411" t="s">
        <v>2518</v>
      </c>
      <c r="B89" s="411"/>
      <c r="C89" s="411"/>
      <c r="D89" s="411"/>
      <c r="E89" s="411"/>
      <c r="F89" s="411"/>
      <c r="G89" s="15">
        <v>204</v>
      </c>
      <c r="H89" s="16"/>
      <c r="I89" s="73"/>
      <c r="J89" s="73"/>
      <c r="L89" s="2" t="s">
        <v>1209</v>
      </c>
    </row>
    <row r="90" spans="1:12" s="2" customFormat="1" ht="25.5" customHeight="1">
      <c r="A90" s="411" t="s">
        <v>359</v>
      </c>
      <c r="B90" s="411"/>
      <c r="C90" s="411"/>
      <c r="D90" s="411"/>
      <c r="E90" s="411"/>
      <c r="F90" s="411"/>
      <c r="G90" s="15">
        <v>205</v>
      </c>
      <c r="H90" s="16"/>
      <c r="I90" s="82">
        <f>SUM(I92:I96)+SUM(I99:I106)</f>
        <v>0</v>
      </c>
      <c r="J90" s="82">
        <f>SUM(J92:J96)+SUM(J99:J106)</f>
        <v>0</v>
      </c>
      <c r="L90" s="2" t="s">
        <v>1209</v>
      </c>
    </row>
    <row r="91" spans="1:12" s="2" customFormat="1" ht="14.25" customHeight="1">
      <c r="A91" s="411" t="s">
        <v>1609</v>
      </c>
      <c r="B91" s="411"/>
      <c r="C91" s="411"/>
      <c r="D91" s="411"/>
      <c r="E91" s="411"/>
      <c r="F91" s="411"/>
      <c r="G91" s="15">
        <v>206</v>
      </c>
      <c r="H91" s="16"/>
      <c r="I91" s="82">
        <f>SUM(I92:I97)</f>
        <v>0</v>
      </c>
      <c r="J91" s="82">
        <f>SUM(J92:J97)</f>
        <v>0</v>
      </c>
      <c r="L91" s="2" t="s">
        <v>1209</v>
      </c>
    </row>
    <row r="92" spans="1:12" s="2" customFormat="1" ht="24.75" customHeight="1">
      <c r="A92" s="387" t="s">
        <v>2519</v>
      </c>
      <c r="B92" s="387"/>
      <c r="C92" s="387"/>
      <c r="D92" s="387"/>
      <c r="E92" s="387"/>
      <c r="F92" s="387"/>
      <c r="G92" s="15">
        <v>207</v>
      </c>
      <c r="H92" s="16"/>
      <c r="I92" s="73"/>
      <c r="J92" s="73"/>
      <c r="L92" s="2" t="s">
        <v>1209</v>
      </c>
    </row>
    <row r="93" spans="1:12" s="2" customFormat="1" ht="24.75" customHeight="1">
      <c r="A93" s="387" t="s">
        <v>2520</v>
      </c>
      <c r="B93" s="387"/>
      <c r="C93" s="387"/>
      <c r="D93" s="387"/>
      <c r="E93" s="387"/>
      <c r="F93" s="387"/>
      <c r="G93" s="15">
        <v>208</v>
      </c>
      <c r="H93" s="16"/>
      <c r="I93" s="73"/>
      <c r="J93" s="73"/>
      <c r="L93" s="2" t="s">
        <v>1209</v>
      </c>
    </row>
    <row r="94" spans="1:12" s="2" customFormat="1" ht="24.75" customHeight="1">
      <c r="A94" s="387" t="s">
        <v>1604</v>
      </c>
      <c r="B94" s="387"/>
      <c r="C94" s="387"/>
      <c r="D94" s="387"/>
      <c r="E94" s="387"/>
      <c r="F94" s="387"/>
      <c r="G94" s="15">
        <v>209</v>
      </c>
      <c r="H94" s="16"/>
      <c r="I94" s="73"/>
      <c r="J94" s="73"/>
      <c r="L94" s="2" t="s">
        <v>1209</v>
      </c>
    </row>
    <row r="95" spans="1:12" s="2" customFormat="1" ht="14.25" customHeight="1">
      <c r="A95" s="387" t="s">
        <v>1605</v>
      </c>
      <c r="B95" s="387"/>
      <c r="C95" s="387"/>
      <c r="D95" s="387"/>
      <c r="E95" s="387"/>
      <c r="F95" s="387"/>
      <c r="G95" s="15">
        <v>210</v>
      </c>
      <c r="H95" s="16"/>
      <c r="I95" s="73"/>
      <c r="J95" s="73"/>
      <c r="L95" s="2" t="s">
        <v>1209</v>
      </c>
    </row>
    <row r="96" spans="1:12" s="2" customFormat="1" ht="14.25" customHeight="1">
      <c r="A96" s="387" t="s">
        <v>1606</v>
      </c>
      <c r="B96" s="387"/>
      <c r="C96" s="387"/>
      <c r="D96" s="387"/>
      <c r="E96" s="387"/>
      <c r="F96" s="387"/>
      <c r="G96" s="15">
        <v>211</v>
      </c>
      <c r="H96" s="16"/>
      <c r="I96" s="73"/>
      <c r="J96" s="73"/>
      <c r="L96" s="2" t="s">
        <v>1209</v>
      </c>
    </row>
    <row r="97" spans="1:12" s="2" customFormat="1" ht="14.25" customHeight="1">
      <c r="A97" s="387" t="s">
        <v>1607</v>
      </c>
      <c r="B97" s="387"/>
      <c r="C97" s="387"/>
      <c r="D97" s="387"/>
      <c r="E97" s="387"/>
      <c r="F97" s="387"/>
      <c r="G97" s="15">
        <v>212</v>
      </c>
      <c r="H97" s="16"/>
      <c r="I97" s="73"/>
      <c r="J97" s="73"/>
      <c r="L97" s="2" t="s">
        <v>1209</v>
      </c>
    </row>
    <row r="98" spans="1:12" s="2" customFormat="1" ht="14.25" customHeight="1">
      <c r="A98" s="411" t="s">
        <v>1608</v>
      </c>
      <c r="B98" s="411"/>
      <c r="C98" s="411"/>
      <c r="D98" s="411"/>
      <c r="E98" s="411"/>
      <c r="F98" s="411"/>
      <c r="G98" s="15">
        <v>213</v>
      </c>
      <c r="H98" s="16"/>
      <c r="I98" s="82">
        <f>SUM(I99:I107)</f>
        <v>0</v>
      </c>
      <c r="J98" s="82">
        <f>SUM(J99:J107)</f>
        <v>0</v>
      </c>
      <c r="L98" s="2" t="s">
        <v>1209</v>
      </c>
    </row>
    <row r="99" spans="1:12" s="2" customFormat="1" ht="14.25" customHeight="1">
      <c r="A99" s="387" t="s">
        <v>1610</v>
      </c>
      <c r="B99" s="387"/>
      <c r="C99" s="387"/>
      <c r="D99" s="387"/>
      <c r="E99" s="387"/>
      <c r="F99" s="387"/>
      <c r="G99" s="15">
        <v>214</v>
      </c>
      <c r="H99" s="16"/>
      <c r="I99" s="73"/>
      <c r="J99" s="73"/>
      <c r="L99" s="2" t="s">
        <v>1209</v>
      </c>
    </row>
    <row r="100" spans="1:12" s="2" customFormat="1" ht="24.75" customHeight="1">
      <c r="A100" s="387" t="s">
        <v>348</v>
      </c>
      <c r="B100" s="387"/>
      <c r="C100" s="387"/>
      <c r="D100" s="387"/>
      <c r="E100" s="387"/>
      <c r="F100" s="387"/>
      <c r="G100" s="15">
        <v>215</v>
      </c>
      <c r="H100" s="16"/>
      <c r="I100" s="73"/>
      <c r="J100" s="73"/>
      <c r="L100" s="2" t="s">
        <v>1209</v>
      </c>
    </row>
    <row r="101" spans="1:12" s="2" customFormat="1" ht="14.25" customHeight="1">
      <c r="A101" s="387" t="s">
        <v>349</v>
      </c>
      <c r="B101" s="387"/>
      <c r="C101" s="387"/>
      <c r="D101" s="387"/>
      <c r="E101" s="387"/>
      <c r="F101" s="387"/>
      <c r="G101" s="15">
        <v>216</v>
      </c>
      <c r="H101" s="16"/>
      <c r="I101" s="73"/>
      <c r="J101" s="73"/>
      <c r="L101" s="2" t="s">
        <v>1209</v>
      </c>
    </row>
    <row r="102" spans="1:12" s="2" customFormat="1" ht="14.25" customHeight="1">
      <c r="A102" s="387" t="s">
        <v>350</v>
      </c>
      <c r="B102" s="387"/>
      <c r="C102" s="387"/>
      <c r="D102" s="387"/>
      <c r="E102" s="387"/>
      <c r="F102" s="387"/>
      <c r="G102" s="15">
        <v>217</v>
      </c>
      <c r="H102" s="16"/>
      <c r="I102" s="73"/>
      <c r="J102" s="73"/>
      <c r="L102" s="2" t="s">
        <v>1209</v>
      </c>
    </row>
    <row r="103" spans="1:12" s="2" customFormat="1" ht="24.75" customHeight="1">
      <c r="A103" s="387" t="s">
        <v>351</v>
      </c>
      <c r="B103" s="387"/>
      <c r="C103" s="387"/>
      <c r="D103" s="387"/>
      <c r="E103" s="387"/>
      <c r="F103" s="387"/>
      <c r="G103" s="15">
        <v>218</v>
      </c>
      <c r="H103" s="16"/>
      <c r="I103" s="73"/>
      <c r="J103" s="73"/>
      <c r="L103" s="2" t="s">
        <v>1209</v>
      </c>
    </row>
    <row r="104" spans="1:12" s="2" customFormat="1" ht="14.25" customHeight="1">
      <c r="A104" s="387" t="s">
        <v>352</v>
      </c>
      <c r="B104" s="387"/>
      <c r="C104" s="387"/>
      <c r="D104" s="387"/>
      <c r="E104" s="387"/>
      <c r="F104" s="387"/>
      <c r="G104" s="15">
        <v>219</v>
      </c>
      <c r="H104" s="16"/>
      <c r="I104" s="73"/>
      <c r="J104" s="73"/>
      <c r="L104" s="2" t="s">
        <v>1209</v>
      </c>
    </row>
    <row r="105" spans="1:12" s="2" customFormat="1" ht="14.25" customHeight="1">
      <c r="A105" s="387" t="s">
        <v>353</v>
      </c>
      <c r="B105" s="387"/>
      <c r="C105" s="387"/>
      <c r="D105" s="387"/>
      <c r="E105" s="387"/>
      <c r="F105" s="387"/>
      <c r="G105" s="15">
        <v>220</v>
      </c>
      <c r="H105" s="16"/>
      <c r="I105" s="73"/>
      <c r="J105" s="73"/>
      <c r="L105" s="2" t="s">
        <v>1209</v>
      </c>
    </row>
    <row r="106" spans="1:12" s="2" customFormat="1" ht="14.25" customHeight="1">
      <c r="A106" s="387" t="s">
        <v>354</v>
      </c>
      <c r="B106" s="387"/>
      <c r="C106" s="387"/>
      <c r="D106" s="387"/>
      <c r="E106" s="387"/>
      <c r="F106" s="387"/>
      <c r="G106" s="15">
        <v>221</v>
      </c>
      <c r="H106" s="16"/>
      <c r="I106" s="73"/>
      <c r="J106" s="73"/>
      <c r="L106" s="2" t="s">
        <v>1209</v>
      </c>
    </row>
    <row r="107" spans="1:12" s="2" customFormat="1" ht="24.75" customHeight="1">
      <c r="A107" s="387" t="s">
        <v>355</v>
      </c>
      <c r="B107" s="387"/>
      <c r="C107" s="387"/>
      <c r="D107" s="387"/>
      <c r="E107" s="387"/>
      <c r="F107" s="387"/>
      <c r="G107" s="15">
        <v>222</v>
      </c>
      <c r="H107" s="16"/>
      <c r="I107" s="73"/>
      <c r="J107" s="73"/>
      <c r="L107" s="2" t="s">
        <v>1209</v>
      </c>
    </row>
    <row r="108" spans="1:12" s="2" customFormat="1" ht="14.25" customHeight="1">
      <c r="A108" s="411" t="s">
        <v>356</v>
      </c>
      <c r="B108" s="411"/>
      <c r="C108" s="411"/>
      <c r="D108" s="411"/>
      <c r="E108" s="411"/>
      <c r="F108" s="411"/>
      <c r="G108" s="15">
        <v>223</v>
      </c>
      <c r="H108" s="16"/>
      <c r="I108" s="82">
        <f>I91+I98</f>
        <v>0</v>
      </c>
      <c r="J108" s="82">
        <f>J91+J98</f>
        <v>0</v>
      </c>
      <c r="L108" s="2" t="s">
        <v>1209</v>
      </c>
    </row>
    <row r="109" spans="1:12" s="2" customFormat="1" ht="14.25" customHeight="1">
      <c r="A109" s="425" t="s">
        <v>358</v>
      </c>
      <c r="B109" s="425"/>
      <c r="C109" s="425"/>
      <c r="D109" s="425"/>
      <c r="E109" s="425"/>
      <c r="F109" s="425"/>
      <c r="G109" s="17">
        <v>224</v>
      </c>
      <c r="H109" s="18"/>
      <c r="I109" s="83">
        <f>I89+I108</f>
        <v>0</v>
      </c>
      <c r="J109" s="83">
        <f>J89+J108</f>
        <v>0</v>
      </c>
      <c r="L109" s="2" t="s">
        <v>1209</v>
      </c>
    </row>
    <row r="110" spans="1:10" s="2" customFormat="1" ht="14.25" customHeight="1">
      <c r="A110" s="388" t="s">
        <v>2364</v>
      </c>
      <c r="B110" s="388"/>
      <c r="C110" s="388"/>
      <c r="D110" s="388"/>
      <c r="E110" s="388"/>
      <c r="F110" s="388"/>
      <c r="G110" s="410"/>
      <c r="H110" s="410"/>
      <c r="I110" s="410"/>
      <c r="J110" s="410"/>
    </row>
    <row r="111" spans="1:12" s="2" customFormat="1" ht="14.25" customHeight="1">
      <c r="A111" s="409" t="s">
        <v>357</v>
      </c>
      <c r="B111" s="409"/>
      <c r="C111" s="409"/>
      <c r="D111" s="409"/>
      <c r="E111" s="409"/>
      <c r="F111" s="409"/>
      <c r="G111" s="15">
        <v>225</v>
      </c>
      <c r="H111" s="16"/>
      <c r="I111" s="82">
        <f>SUM(I112:I113)</f>
        <v>0</v>
      </c>
      <c r="J111" s="82">
        <f>SUM(J112:J113)</f>
        <v>0</v>
      </c>
      <c r="L111" s="2" t="s">
        <v>1209</v>
      </c>
    </row>
    <row r="112" spans="1:12" s="2" customFormat="1" ht="14.25" customHeight="1">
      <c r="A112" s="407" t="s">
        <v>1239</v>
      </c>
      <c r="B112" s="407"/>
      <c r="C112" s="407"/>
      <c r="D112" s="407"/>
      <c r="E112" s="407"/>
      <c r="F112" s="407"/>
      <c r="G112" s="15">
        <v>226</v>
      </c>
      <c r="H112" s="16"/>
      <c r="I112" s="73"/>
      <c r="J112" s="73"/>
      <c r="L112" s="2" t="s">
        <v>1209</v>
      </c>
    </row>
    <row r="113" spans="1:12" s="2" customFormat="1" ht="14.25" customHeight="1">
      <c r="A113" s="424" t="s">
        <v>1099</v>
      </c>
      <c r="B113" s="424"/>
      <c r="C113" s="424"/>
      <c r="D113" s="424"/>
      <c r="E113" s="424"/>
      <c r="F113" s="424"/>
      <c r="G113" s="17">
        <v>227</v>
      </c>
      <c r="H113" s="18"/>
      <c r="I113" s="74"/>
      <c r="J113" s="74"/>
      <c r="L113" s="2" t="s">
        <v>1209</v>
      </c>
    </row>
    <row r="114" ht="4.5" customHeight="1"/>
  </sheetData>
  <sheetProtection password="C79A" sheet="1" objects="1" scenarios="1"/>
  <mergeCells count="112">
    <mergeCell ref="A105:F105"/>
    <mergeCell ref="A113:F113"/>
    <mergeCell ref="A107:F107"/>
    <mergeCell ref="A108:F108"/>
    <mergeCell ref="A109:F109"/>
    <mergeCell ref="A111:F111"/>
    <mergeCell ref="A110:J110"/>
    <mergeCell ref="A112:F112"/>
    <mergeCell ref="A103:F103"/>
    <mergeCell ref="A63:F63"/>
    <mergeCell ref="A52:F52"/>
    <mergeCell ref="A53:F53"/>
    <mergeCell ref="A54:F54"/>
    <mergeCell ref="A104:F104"/>
    <mergeCell ref="A42:F42"/>
    <mergeCell ref="A43:F43"/>
    <mergeCell ref="A44:F44"/>
    <mergeCell ref="A37:F37"/>
    <mergeCell ref="A32:F32"/>
    <mergeCell ref="A102:F102"/>
    <mergeCell ref="A87:F87"/>
    <mergeCell ref="A50:F50"/>
    <mergeCell ref="A51:F51"/>
    <mergeCell ref="A57:F57"/>
    <mergeCell ref="A58:F58"/>
    <mergeCell ref="A59:F59"/>
    <mergeCell ref="A60:F60"/>
    <mergeCell ref="A62:F62"/>
    <mergeCell ref="A41:F41"/>
    <mergeCell ref="A28:F28"/>
    <mergeCell ref="A30:F30"/>
    <mergeCell ref="A33:F33"/>
    <mergeCell ref="A56:F56"/>
    <mergeCell ref="A61:F61"/>
    <mergeCell ref="A48:F48"/>
    <mergeCell ref="A46:F46"/>
    <mergeCell ref="A47:F47"/>
    <mergeCell ref="A49:F49"/>
    <mergeCell ref="A20:F20"/>
    <mergeCell ref="A39:F39"/>
    <mergeCell ref="A40:F40"/>
    <mergeCell ref="A38:F38"/>
    <mergeCell ref="A35:F35"/>
    <mergeCell ref="A45:F45"/>
    <mergeCell ref="A5:J5"/>
    <mergeCell ref="A6:F6"/>
    <mergeCell ref="A2:I2"/>
    <mergeCell ref="A3:I3"/>
    <mergeCell ref="J2:J3"/>
    <mergeCell ref="A31:F31"/>
    <mergeCell ref="A16:F16"/>
    <mergeCell ref="A23:F23"/>
    <mergeCell ref="A24:F24"/>
    <mergeCell ref="A15:F15"/>
    <mergeCell ref="A88:J88"/>
    <mergeCell ref="A18:F18"/>
    <mergeCell ref="A19:F19"/>
    <mergeCell ref="A26:F26"/>
    <mergeCell ref="A27:F27"/>
    <mergeCell ref="A29:F29"/>
    <mergeCell ref="A36:F36"/>
    <mergeCell ref="A34:F34"/>
    <mergeCell ref="A71:F71"/>
    <mergeCell ref="A55:F55"/>
    <mergeCell ref="A13:F13"/>
    <mergeCell ref="A21:F21"/>
    <mergeCell ref="A9:F9"/>
    <mergeCell ref="A8:F8"/>
    <mergeCell ref="A22:F22"/>
    <mergeCell ref="A7:F7"/>
    <mergeCell ref="A11:F11"/>
    <mergeCell ref="A17:F17"/>
    <mergeCell ref="A25:F25"/>
    <mergeCell ref="A12:F12"/>
    <mergeCell ref="A10:F10"/>
    <mergeCell ref="A14:F14"/>
    <mergeCell ref="A72:F72"/>
    <mergeCell ref="A68:F68"/>
    <mergeCell ref="A67:F67"/>
    <mergeCell ref="A65:F65"/>
    <mergeCell ref="A66:F66"/>
    <mergeCell ref="A64:F64"/>
    <mergeCell ref="A94:F94"/>
    <mergeCell ref="A95:F95"/>
    <mergeCell ref="A96:F96"/>
    <mergeCell ref="A97:F97"/>
    <mergeCell ref="A73:F73"/>
    <mergeCell ref="A69:J69"/>
    <mergeCell ref="A76:J76"/>
    <mergeCell ref="A74:F74"/>
    <mergeCell ref="A75:F75"/>
    <mergeCell ref="A70:F70"/>
    <mergeCell ref="A98:F98"/>
    <mergeCell ref="A99:F99"/>
    <mergeCell ref="A100:F100"/>
    <mergeCell ref="A101:F101"/>
    <mergeCell ref="A106:F106"/>
    <mergeCell ref="A80:F80"/>
    <mergeCell ref="A82:F82"/>
    <mergeCell ref="A83:F83"/>
    <mergeCell ref="A81:F81"/>
    <mergeCell ref="A89:F89"/>
    <mergeCell ref="A93:F93"/>
    <mergeCell ref="A86:F86"/>
    <mergeCell ref="A77:F77"/>
    <mergeCell ref="A78:F78"/>
    <mergeCell ref="A79:F79"/>
    <mergeCell ref="A85:F85"/>
    <mergeCell ref="A84:J84"/>
    <mergeCell ref="A92:F92"/>
    <mergeCell ref="A90:F90"/>
    <mergeCell ref="A91:F91"/>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47" activePane="bottomLeft" state="frozen"/>
      <selection pane="topLeft" activeCell="A1" sqref="A1"/>
      <selection pane="bottomLeft" activeCell="J67" sqref="J67"/>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s="2" customFormat="1" ht="19.5" customHeight="1">
      <c r="A2" s="436" t="s">
        <v>821</v>
      </c>
      <c r="B2" s="437"/>
      <c r="C2" s="437"/>
      <c r="D2" s="437"/>
      <c r="E2" s="437"/>
      <c r="F2" s="437"/>
      <c r="G2" s="437"/>
      <c r="H2" s="437"/>
      <c r="I2" s="438"/>
      <c r="J2" s="392" t="s">
        <v>1211</v>
      </c>
      <c r="Q2" s="70">
        <f>IF(MAX(I9:I88)&gt;0,1,0)</f>
        <v>1</v>
      </c>
      <c r="R2" s="69" t="s">
        <v>1204</v>
      </c>
    </row>
    <row r="3" spans="1:18" s="2" customFormat="1" ht="19.5" customHeight="1" thickBot="1">
      <c r="A3" s="439" t="str">
        <f>"za razdoblje "&amp;IF(RefStr!C4&lt;&gt;"",TEXT(RefStr!C4,"DD.MM.YYYY."),"__.__.____.")&amp;" do "&amp;IF(RefStr!F4&lt;&gt;"",TEXT(RefStr!F4,"DD.MM.YYYY."),"__.__.____.")</f>
        <v>za razdoblje 01.01.2021. do 31.12.2021.</v>
      </c>
      <c r="B3" s="440"/>
      <c r="C3" s="440"/>
      <c r="D3" s="440"/>
      <c r="E3" s="440"/>
      <c r="F3" s="440"/>
      <c r="G3" s="440"/>
      <c r="H3" s="440"/>
      <c r="I3" s="441"/>
      <c r="J3" s="426"/>
      <c r="Q3" s="70">
        <f>IF(MAX(J9:J88)&gt;0,1,0)</f>
        <v>1</v>
      </c>
      <c r="R3" s="69" t="s">
        <v>1205</v>
      </c>
    </row>
    <row r="4" spans="1:10" s="2" customFormat="1" ht="4.5" customHeight="1">
      <c r="A4" s="112"/>
      <c r="B4" s="85"/>
      <c r="C4" s="85"/>
      <c r="D4" s="85"/>
      <c r="E4" s="85"/>
      <c r="F4" s="85"/>
      <c r="G4" s="85"/>
      <c r="H4" s="85"/>
      <c r="I4" s="86"/>
      <c r="J4" s="87"/>
    </row>
    <row r="5" spans="1:10" s="2" customFormat="1" ht="15" customHeight="1">
      <c r="A5" s="430" t="str">
        <f>"Obveznik: "&amp;IF(RefStr!C27&lt;&gt;"",RefStr!C27,"________")&amp;"; "&amp;IF(RefStr!C29&lt;&gt;"",RefStr!C29,"________________________________________________________"&amp;"; "&amp;IF(RefStr!F31&lt;&gt;"",RefStr!F31,"_______________"))</f>
        <v>Obveznik: 34347571917; AQUAPARK ZELINA D.O.O.</v>
      </c>
      <c r="B5" s="431"/>
      <c r="C5" s="431"/>
      <c r="D5" s="431"/>
      <c r="E5" s="431"/>
      <c r="F5" s="431"/>
      <c r="G5" s="431"/>
      <c r="H5" s="431"/>
      <c r="I5" s="431"/>
      <c r="J5" s="432"/>
    </row>
    <row r="6" spans="1:10" s="2" customFormat="1" ht="24.75" customHeight="1" thickBot="1">
      <c r="A6" s="433" t="s">
        <v>955</v>
      </c>
      <c r="B6" s="434"/>
      <c r="C6" s="434"/>
      <c r="D6" s="434"/>
      <c r="E6" s="434"/>
      <c r="F6" s="434"/>
      <c r="G6" s="435"/>
      <c r="H6" s="103" t="s">
        <v>633</v>
      </c>
      <c r="I6" s="103" t="s">
        <v>19</v>
      </c>
      <c r="J6" s="104" t="s">
        <v>20</v>
      </c>
    </row>
    <row r="7" spans="1:10" s="2" customFormat="1" ht="12">
      <c r="A7" s="427">
        <v>1</v>
      </c>
      <c r="B7" s="428"/>
      <c r="C7" s="428"/>
      <c r="D7" s="428"/>
      <c r="E7" s="428"/>
      <c r="F7" s="428"/>
      <c r="G7" s="429"/>
      <c r="H7" s="107">
        <v>2</v>
      </c>
      <c r="I7" s="106">
        <v>3</v>
      </c>
      <c r="J7" s="108">
        <v>4</v>
      </c>
    </row>
    <row r="8" spans="1:10" s="2" customFormat="1" ht="13.5" customHeight="1">
      <c r="A8" s="442" t="s">
        <v>1010</v>
      </c>
      <c r="B8" s="443"/>
      <c r="C8" s="443"/>
      <c r="D8" s="443"/>
      <c r="E8" s="443"/>
      <c r="F8" s="443"/>
      <c r="G8" s="443"/>
      <c r="H8" s="443"/>
      <c r="I8" s="443"/>
      <c r="J8" s="444"/>
    </row>
    <row r="9" spans="1:10" s="2" customFormat="1" ht="13.5" customHeight="1">
      <c r="A9" s="445" t="s">
        <v>1009</v>
      </c>
      <c r="B9" s="445"/>
      <c r="C9" s="445"/>
      <c r="D9" s="445"/>
      <c r="E9" s="445"/>
      <c r="F9" s="445"/>
      <c r="G9" s="446"/>
      <c r="H9" s="88">
        <v>228</v>
      </c>
      <c r="I9" s="89"/>
      <c r="J9" s="89"/>
    </row>
    <row r="10" spans="1:10" s="2" customFormat="1" ht="13.5" customHeight="1">
      <c r="A10" s="408" t="s">
        <v>1008</v>
      </c>
      <c r="B10" s="408"/>
      <c r="C10" s="408"/>
      <c r="D10" s="408"/>
      <c r="E10" s="408"/>
      <c r="F10" s="408"/>
      <c r="G10" s="408"/>
      <c r="H10" s="15">
        <v>229</v>
      </c>
      <c r="I10" s="73"/>
      <c r="J10" s="73"/>
    </row>
    <row r="11" spans="1:10" s="2" customFormat="1" ht="13.5" customHeight="1">
      <c r="A11" s="408" t="s">
        <v>606</v>
      </c>
      <c r="B11" s="408"/>
      <c r="C11" s="408"/>
      <c r="D11" s="408"/>
      <c r="E11" s="408"/>
      <c r="F11" s="408"/>
      <c r="G11" s="408"/>
      <c r="H11" s="15">
        <v>230</v>
      </c>
      <c r="I11" s="73"/>
      <c r="J11" s="73"/>
    </row>
    <row r="12" spans="1:10" s="2" customFormat="1" ht="13.5" customHeight="1">
      <c r="A12" s="408" t="s">
        <v>605</v>
      </c>
      <c r="B12" s="408"/>
      <c r="C12" s="408"/>
      <c r="D12" s="408"/>
      <c r="E12" s="408"/>
      <c r="F12" s="408"/>
      <c r="G12" s="408"/>
      <c r="H12" s="15">
        <v>231</v>
      </c>
      <c r="I12" s="73"/>
      <c r="J12" s="73"/>
    </row>
    <row r="13" spans="1:10" s="2" customFormat="1" ht="13.5" customHeight="1">
      <c r="A13" s="408" t="s">
        <v>604</v>
      </c>
      <c r="B13" s="408"/>
      <c r="C13" s="408"/>
      <c r="D13" s="408"/>
      <c r="E13" s="408"/>
      <c r="F13" s="408"/>
      <c r="G13" s="408"/>
      <c r="H13" s="15">
        <v>232</v>
      </c>
      <c r="I13" s="73"/>
      <c r="J13" s="73"/>
    </row>
    <row r="14" spans="1:10" s="2" customFormat="1" ht="13.5" customHeight="1">
      <c r="A14" s="408" t="s">
        <v>603</v>
      </c>
      <c r="B14" s="408"/>
      <c r="C14" s="408"/>
      <c r="D14" s="408"/>
      <c r="E14" s="408"/>
      <c r="F14" s="408"/>
      <c r="G14" s="408"/>
      <c r="H14" s="15">
        <v>233</v>
      </c>
      <c r="I14" s="73"/>
      <c r="J14" s="73"/>
    </row>
    <row r="15" spans="1:10" s="2" customFormat="1" ht="13.5" customHeight="1">
      <c r="A15" s="412" t="s">
        <v>602</v>
      </c>
      <c r="B15" s="412"/>
      <c r="C15" s="412"/>
      <c r="D15" s="412"/>
      <c r="E15" s="412"/>
      <c r="F15" s="412"/>
      <c r="G15" s="412"/>
      <c r="H15" s="17">
        <v>234</v>
      </c>
      <c r="I15" s="74"/>
      <c r="J15" s="74"/>
    </row>
    <row r="16" spans="1:10" s="2" customFormat="1" ht="13.5" customHeight="1">
      <c r="A16" s="442" t="s">
        <v>1011</v>
      </c>
      <c r="B16" s="443"/>
      <c r="C16" s="443"/>
      <c r="D16" s="443"/>
      <c r="E16" s="443"/>
      <c r="F16" s="443"/>
      <c r="G16" s="443"/>
      <c r="H16" s="443"/>
      <c r="I16" s="443"/>
      <c r="J16" s="444"/>
    </row>
    <row r="17" spans="1:10" s="2" customFormat="1" ht="13.5" customHeight="1">
      <c r="A17" s="445" t="s">
        <v>600</v>
      </c>
      <c r="B17" s="445"/>
      <c r="C17" s="445"/>
      <c r="D17" s="445"/>
      <c r="E17" s="445"/>
      <c r="F17" s="445"/>
      <c r="G17" s="446"/>
      <c r="H17" s="88">
        <v>235</v>
      </c>
      <c r="I17" s="90"/>
      <c r="J17" s="90"/>
    </row>
    <row r="18" spans="1:10" s="2" customFormat="1" ht="13.5" customHeight="1">
      <c r="A18" s="408" t="s">
        <v>601</v>
      </c>
      <c r="B18" s="408"/>
      <c r="C18" s="408"/>
      <c r="D18" s="408"/>
      <c r="E18" s="408"/>
      <c r="F18" s="408"/>
      <c r="G18" s="447"/>
      <c r="H18" s="15">
        <v>236</v>
      </c>
      <c r="I18" s="73"/>
      <c r="J18" s="73"/>
    </row>
    <row r="19" spans="1:10" s="2" customFormat="1" ht="13.5" customHeight="1">
      <c r="A19" s="408" t="s">
        <v>597</v>
      </c>
      <c r="B19" s="408"/>
      <c r="C19" s="408"/>
      <c r="D19" s="408"/>
      <c r="E19" s="408"/>
      <c r="F19" s="408"/>
      <c r="G19" s="447"/>
      <c r="H19" s="15">
        <v>237</v>
      </c>
      <c r="I19" s="73"/>
      <c r="J19" s="73"/>
    </row>
    <row r="20" spans="1:10" s="2" customFormat="1" ht="13.5" customHeight="1">
      <c r="A20" s="408" t="s">
        <v>598</v>
      </c>
      <c r="B20" s="408"/>
      <c r="C20" s="408"/>
      <c r="D20" s="408"/>
      <c r="E20" s="408"/>
      <c r="F20" s="408"/>
      <c r="G20" s="447"/>
      <c r="H20" s="15">
        <v>238</v>
      </c>
      <c r="I20" s="73"/>
      <c r="J20" s="73"/>
    </row>
    <row r="21" spans="1:10" s="2" customFormat="1" ht="13.5" customHeight="1">
      <c r="A21" s="412" t="s">
        <v>599</v>
      </c>
      <c r="B21" s="412"/>
      <c r="C21" s="412"/>
      <c r="D21" s="412"/>
      <c r="E21" s="412"/>
      <c r="F21" s="412"/>
      <c r="G21" s="452"/>
      <c r="H21" s="17">
        <v>239</v>
      </c>
      <c r="I21" s="74"/>
      <c r="J21" s="74"/>
    </row>
    <row r="22" spans="1:10" s="2" customFormat="1" ht="13.5" customHeight="1">
      <c r="A22" s="442" t="s">
        <v>1012</v>
      </c>
      <c r="B22" s="443"/>
      <c r="C22" s="443"/>
      <c r="D22" s="443"/>
      <c r="E22" s="443"/>
      <c r="F22" s="443"/>
      <c r="G22" s="443"/>
      <c r="H22" s="443"/>
      <c r="I22" s="443"/>
      <c r="J22" s="444"/>
    </row>
    <row r="23" spans="1:10" s="2" customFormat="1" ht="13.5" customHeight="1">
      <c r="A23" s="450" t="s">
        <v>2655</v>
      </c>
      <c r="B23" s="450"/>
      <c r="C23" s="450"/>
      <c r="D23" s="450"/>
      <c r="E23" s="450"/>
      <c r="F23" s="450"/>
      <c r="G23" s="451"/>
      <c r="H23" s="91">
        <v>240</v>
      </c>
      <c r="I23" s="92"/>
      <c r="J23" s="92"/>
    </row>
    <row r="24" spans="1:10" s="2" customFormat="1" ht="13.5" customHeight="1">
      <c r="A24" s="442" t="s">
        <v>1013</v>
      </c>
      <c r="B24" s="443"/>
      <c r="C24" s="443"/>
      <c r="D24" s="443"/>
      <c r="E24" s="443"/>
      <c r="F24" s="443"/>
      <c r="G24" s="443"/>
      <c r="H24" s="443"/>
      <c r="I24" s="443"/>
      <c r="J24" s="444"/>
    </row>
    <row r="25" spans="1:10" s="2" customFormat="1" ht="13.5" customHeight="1">
      <c r="A25" s="445" t="s">
        <v>2656</v>
      </c>
      <c r="B25" s="445"/>
      <c r="C25" s="445"/>
      <c r="D25" s="445"/>
      <c r="E25" s="445"/>
      <c r="F25" s="445"/>
      <c r="G25" s="446"/>
      <c r="H25" s="88">
        <v>241</v>
      </c>
      <c r="I25" s="90"/>
      <c r="J25" s="90"/>
    </row>
    <row r="26" spans="1:10" s="2" customFormat="1" ht="24.75" customHeight="1">
      <c r="A26" s="408" t="s">
        <v>2102</v>
      </c>
      <c r="B26" s="408"/>
      <c r="C26" s="408"/>
      <c r="D26" s="408"/>
      <c r="E26" s="408"/>
      <c r="F26" s="408"/>
      <c r="G26" s="447"/>
      <c r="H26" s="15">
        <v>242</v>
      </c>
      <c r="I26" s="73"/>
      <c r="J26" s="73"/>
    </row>
    <row r="27" spans="1:10" s="2" customFormat="1" ht="13.5" customHeight="1">
      <c r="A27" s="408" t="s">
        <v>1014</v>
      </c>
      <c r="B27" s="408"/>
      <c r="C27" s="408"/>
      <c r="D27" s="408"/>
      <c r="E27" s="408"/>
      <c r="F27" s="408"/>
      <c r="G27" s="447"/>
      <c r="H27" s="15">
        <v>243</v>
      </c>
      <c r="I27" s="73"/>
      <c r="J27" s="73"/>
    </row>
    <row r="28" spans="1:10" s="2" customFormat="1" ht="13.5" customHeight="1">
      <c r="A28" s="408" t="s">
        <v>1015</v>
      </c>
      <c r="B28" s="408"/>
      <c r="C28" s="408"/>
      <c r="D28" s="408"/>
      <c r="E28" s="408"/>
      <c r="F28" s="408"/>
      <c r="G28" s="447"/>
      <c r="H28" s="15">
        <v>244</v>
      </c>
      <c r="I28" s="73"/>
      <c r="J28" s="73"/>
    </row>
    <row r="29" spans="1:10" s="2" customFormat="1" ht="13.5" customHeight="1">
      <c r="A29" s="408" t="s">
        <v>1016</v>
      </c>
      <c r="B29" s="408"/>
      <c r="C29" s="408"/>
      <c r="D29" s="408"/>
      <c r="E29" s="408"/>
      <c r="F29" s="408"/>
      <c r="G29" s="447"/>
      <c r="H29" s="15">
        <v>245</v>
      </c>
      <c r="I29" s="73"/>
      <c r="J29" s="73"/>
    </row>
    <row r="30" spans="1:10" s="2" customFormat="1" ht="13.5" customHeight="1">
      <c r="A30" s="408" t="s">
        <v>1017</v>
      </c>
      <c r="B30" s="408"/>
      <c r="C30" s="408"/>
      <c r="D30" s="408"/>
      <c r="E30" s="408"/>
      <c r="F30" s="408"/>
      <c r="G30" s="447"/>
      <c r="H30" s="15">
        <v>246</v>
      </c>
      <c r="I30" s="73"/>
      <c r="J30" s="73"/>
    </row>
    <row r="31" spans="1:10" s="2" customFormat="1" ht="13.5" customHeight="1">
      <c r="A31" s="408" t="s">
        <v>1018</v>
      </c>
      <c r="B31" s="408"/>
      <c r="C31" s="408"/>
      <c r="D31" s="408"/>
      <c r="E31" s="408"/>
      <c r="F31" s="408"/>
      <c r="G31" s="447"/>
      <c r="H31" s="15">
        <v>247</v>
      </c>
      <c r="I31" s="73"/>
      <c r="J31" s="73"/>
    </row>
    <row r="32" spans="1:10" s="2" customFormat="1" ht="13.5" customHeight="1">
      <c r="A32" s="408" t="s">
        <v>1019</v>
      </c>
      <c r="B32" s="408"/>
      <c r="C32" s="408"/>
      <c r="D32" s="408"/>
      <c r="E32" s="408"/>
      <c r="F32" s="408"/>
      <c r="G32" s="447"/>
      <c r="H32" s="15">
        <v>248</v>
      </c>
      <c r="I32" s="73"/>
      <c r="J32" s="73"/>
    </row>
    <row r="33" spans="1:10" s="2" customFormat="1" ht="24.75" customHeight="1">
      <c r="A33" s="408" t="s">
        <v>2103</v>
      </c>
      <c r="B33" s="408"/>
      <c r="C33" s="408"/>
      <c r="D33" s="408"/>
      <c r="E33" s="408"/>
      <c r="F33" s="408"/>
      <c r="G33" s="447"/>
      <c r="H33" s="15">
        <v>249</v>
      </c>
      <c r="I33" s="73"/>
      <c r="J33" s="73"/>
    </row>
    <row r="34" spans="1:10" s="2" customFormat="1" ht="36" customHeight="1">
      <c r="A34" s="408" t="s">
        <v>2104</v>
      </c>
      <c r="B34" s="408"/>
      <c r="C34" s="408"/>
      <c r="D34" s="408"/>
      <c r="E34" s="408"/>
      <c r="F34" s="408"/>
      <c r="G34" s="447"/>
      <c r="H34" s="15">
        <v>250</v>
      </c>
      <c r="I34" s="73"/>
      <c r="J34" s="73"/>
    </row>
    <row r="35" spans="1:10" s="2" customFormat="1" ht="36" customHeight="1">
      <c r="A35" s="412" t="s">
        <v>1020</v>
      </c>
      <c r="B35" s="412"/>
      <c r="C35" s="412"/>
      <c r="D35" s="412"/>
      <c r="E35" s="412"/>
      <c r="F35" s="412"/>
      <c r="G35" s="452"/>
      <c r="H35" s="17">
        <v>251</v>
      </c>
      <c r="I35" s="74"/>
      <c r="J35" s="74"/>
    </row>
    <row r="36" spans="1:10" s="2" customFormat="1" ht="13.5" customHeight="1">
      <c r="A36" s="442" t="s">
        <v>1021</v>
      </c>
      <c r="B36" s="443"/>
      <c r="C36" s="443"/>
      <c r="D36" s="443"/>
      <c r="E36" s="443"/>
      <c r="F36" s="443"/>
      <c r="G36" s="443"/>
      <c r="H36" s="443"/>
      <c r="I36" s="443"/>
      <c r="J36" s="444"/>
    </row>
    <row r="37" spans="1:10" s="2" customFormat="1" ht="13.5" customHeight="1">
      <c r="A37" s="445" t="s">
        <v>73</v>
      </c>
      <c r="B37" s="445"/>
      <c r="C37" s="445"/>
      <c r="D37" s="445"/>
      <c r="E37" s="445"/>
      <c r="F37" s="445"/>
      <c r="G37" s="446"/>
      <c r="H37" s="88">
        <v>252</v>
      </c>
      <c r="I37" s="90"/>
      <c r="J37" s="90"/>
    </row>
    <row r="38" spans="1:10" s="2" customFormat="1" ht="13.5" customHeight="1">
      <c r="A38" s="412" t="s">
        <v>2360</v>
      </c>
      <c r="B38" s="412"/>
      <c r="C38" s="412"/>
      <c r="D38" s="412"/>
      <c r="E38" s="412"/>
      <c r="F38" s="412"/>
      <c r="G38" s="452"/>
      <c r="H38" s="17">
        <v>253</v>
      </c>
      <c r="I38" s="74"/>
      <c r="J38" s="74"/>
    </row>
    <row r="39" spans="1:10" s="2" customFormat="1" ht="13.5" customHeight="1">
      <c r="A39" s="442" t="s">
        <v>1022</v>
      </c>
      <c r="B39" s="443"/>
      <c r="C39" s="443"/>
      <c r="D39" s="443"/>
      <c r="E39" s="443"/>
      <c r="F39" s="443"/>
      <c r="G39" s="443"/>
      <c r="H39" s="443"/>
      <c r="I39" s="443"/>
      <c r="J39" s="444"/>
    </row>
    <row r="40" spans="1:10" s="2" customFormat="1" ht="13.5" customHeight="1">
      <c r="A40" s="450" t="s">
        <v>2657</v>
      </c>
      <c r="B40" s="450"/>
      <c r="C40" s="450"/>
      <c r="D40" s="450"/>
      <c r="E40" s="450"/>
      <c r="F40" s="450"/>
      <c r="G40" s="451"/>
      <c r="H40" s="91">
        <v>254</v>
      </c>
      <c r="I40" s="92"/>
      <c r="J40" s="92"/>
    </row>
    <row r="41" spans="1:10" s="2" customFormat="1" ht="13.5" customHeight="1">
      <c r="A41" s="442" t="s">
        <v>1023</v>
      </c>
      <c r="B41" s="443"/>
      <c r="C41" s="443"/>
      <c r="D41" s="443"/>
      <c r="E41" s="443"/>
      <c r="F41" s="443"/>
      <c r="G41" s="443"/>
      <c r="H41" s="443"/>
      <c r="I41" s="443"/>
      <c r="J41" s="444"/>
    </row>
    <row r="42" spans="1:10" s="2" customFormat="1" ht="24.75" customHeight="1">
      <c r="A42" s="445" t="s">
        <v>2105</v>
      </c>
      <c r="B42" s="445"/>
      <c r="C42" s="445"/>
      <c r="D42" s="445"/>
      <c r="E42" s="445"/>
      <c r="F42" s="445"/>
      <c r="G42" s="446"/>
      <c r="H42" s="88">
        <v>255</v>
      </c>
      <c r="I42" s="90"/>
      <c r="J42" s="90"/>
    </row>
    <row r="43" spans="1:10" s="2" customFormat="1" ht="13.5" customHeight="1">
      <c r="A43" s="408" t="s">
        <v>1024</v>
      </c>
      <c r="B43" s="408"/>
      <c r="C43" s="408"/>
      <c r="D43" s="408"/>
      <c r="E43" s="408"/>
      <c r="F43" s="408"/>
      <c r="G43" s="447"/>
      <c r="H43" s="15">
        <v>256</v>
      </c>
      <c r="I43" s="73"/>
      <c r="J43" s="73"/>
    </row>
    <row r="44" spans="1:10" s="2" customFormat="1" ht="13.5" customHeight="1">
      <c r="A44" s="448" t="s">
        <v>1027</v>
      </c>
      <c r="B44" s="448"/>
      <c r="C44" s="448"/>
      <c r="D44" s="448"/>
      <c r="E44" s="448"/>
      <c r="F44" s="448"/>
      <c r="G44" s="449"/>
      <c r="H44" s="15">
        <v>257</v>
      </c>
      <c r="I44" s="73"/>
      <c r="J44" s="73"/>
    </row>
    <row r="45" spans="1:10" s="2" customFormat="1" ht="13.5" customHeight="1">
      <c r="A45" s="408" t="s">
        <v>1025</v>
      </c>
      <c r="B45" s="408"/>
      <c r="C45" s="408"/>
      <c r="D45" s="408"/>
      <c r="E45" s="408"/>
      <c r="F45" s="408"/>
      <c r="G45" s="447"/>
      <c r="H45" s="15">
        <v>258</v>
      </c>
      <c r="I45" s="73"/>
      <c r="J45" s="73"/>
    </row>
    <row r="46" spans="1:10" s="2" customFormat="1" ht="24.75" customHeight="1">
      <c r="A46" s="408" t="s">
        <v>1028</v>
      </c>
      <c r="B46" s="408"/>
      <c r="C46" s="408"/>
      <c r="D46" s="408"/>
      <c r="E46" s="408"/>
      <c r="F46" s="408"/>
      <c r="G46" s="447"/>
      <c r="H46" s="15">
        <v>259</v>
      </c>
      <c r="I46" s="73"/>
      <c r="J46" s="73"/>
    </row>
    <row r="47" spans="1:10" s="2" customFormat="1" ht="13.5" customHeight="1">
      <c r="A47" s="412" t="s">
        <v>1026</v>
      </c>
      <c r="B47" s="412"/>
      <c r="C47" s="412"/>
      <c r="D47" s="412"/>
      <c r="E47" s="412"/>
      <c r="F47" s="412"/>
      <c r="G47" s="452"/>
      <c r="H47" s="17">
        <v>260</v>
      </c>
      <c r="I47" s="74"/>
      <c r="J47" s="74"/>
    </row>
    <row r="48" spans="1:10" s="2" customFormat="1" ht="13.5" customHeight="1">
      <c r="A48" s="442" t="s">
        <v>1029</v>
      </c>
      <c r="B48" s="443"/>
      <c r="C48" s="443"/>
      <c r="D48" s="443"/>
      <c r="E48" s="443"/>
      <c r="F48" s="443"/>
      <c r="G48" s="443"/>
      <c r="H48" s="443"/>
      <c r="I48" s="443"/>
      <c r="J48" s="444"/>
    </row>
    <row r="49" spans="1:10" s="2" customFormat="1" ht="13.5" customHeight="1">
      <c r="A49" s="445" t="s">
        <v>1031</v>
      </c>
      <c r="B49" s="445"/>
      <c r="C49" s="445"/>
      <c r="D49" s="445"/>
      <c r="E49" s="445"/>
      <c r="F49" s="445"/>
      <c r="G49" s="446"/>
      <c r="H49" s="88">
        <v>261</v>
      </c>
      <c r="I49" s="90"/>
      <c r="J49" s="90"/>
    </row>
    <row r="50" spans="1:10" s="2" customFormat="1" ht="13.5" customHeight="1">
      <c r="A50" s="408" t="s">
        <v>1032</v>
      </c>
      <c r="B50" s="408"/>
      <c r="C50" s="408"/>
      <c r="D50" s="408"/>
      <c r="E50" s="408"/>
      <c r="F50" s="408"/>
      <c r="G50" s="447"/>
      <c r="H50" s="15">
        <v>262</v>
      </c>
      <c r="I50" s="73"/>
      <c r="J50" s="73"/>
    </row>
    <row r="51" spans="1:10" s="2" customFormat="1" ht="24.75" customHeight="1">
      <c r="A51" s="408" t="s">
        <v>2106</v>
      </c>
      <c r="B51" s="408"/>
      <c r="C51" s="408"/>
      <c r="D51" s="408"/>
      <c r="E51" s="408"/>
      <c r="F51" s="408"/>
      <c r="G51" s="447"/>
      <c r="H51" s="15">
        <v>263</v>
      </c>
      <c r="I51" s="73"/>
      <c r="J51" s="73"/>
    </row>
    <row r="52" spans="1:10" s="2" customFormat="1" ht="24.75" customHeight="1">
      <c r="A52" s="408" t="s">
        <v>643</v>
      </c>
      <c r="B52" s="408"/>
      <c r="C52" s="408"/>
      <c r="D52" s="408"/>
      <c r="E52" s="408"/>
      <c r="F52" s="408"/>
      <c r="G52" s="447"/>
      <c r="H52" s="15">
        <v>264</v>
      </c>
      <c r="I52" s="73"/>
      <c r="J52" s="73"/>
    </row>
    <row r="53" spans="1:10" s="2" customFormat="1" ht="13.5" customHeight="1">
      <c r="A53" s="408" t="s">
        <v>1033</v>
      </c>
      <c r="B53" s="408"/>
      <c r="C53" s="408"/>
      <c r="D53" s="408"/>
      <c r="E53" s="408"/>
      <c r="F53" s="408"/>
      <c r="G53" s="447"/>
      <c r="H53" s="15">
        <v>265</v>
      </c>
      <c r="I53" s="73"/>
      <c r="J53" s="73"/>
    </row>
    <row r="54" spans="1:10" s="2" customFormat="1" ht="13.5" customHeight="1">
      <c r="A54" s="408" t="s">
        <v>1034</v>
      </c>
      <c r="B54" s="408"/>
      <c r="C54" s="408"/>
      <c r="D54" s="408"/>
      <c r="E54" s="408"/>
      <c r="F54" s="408"/>
      <c r="G54" s="447"/>
      <c r="H54" s="15">
        <v>266</v>
      </c>
      <c r="I54" s="73"/>
      <c r="J54" s="73"/>
    </row>
    <row r="55" spans="1:10" s="2" customFormat="1" ht="13.5" customHeight="1">
      <c r="A55" s="408" t="s">
        <v>2815</v>
      </c>
      <c r="B55" s="408"/>
      <c r="C55" s="408"/>
      <c r="D55" s="408"/>
      <c r="E55" s="408"/>
      <c r="F55" s="408"/>
      <c r="G55" s="447"/>
      <c r="H55" s="15">
        <v>267</v>
      </c>
      <c r="I55" s="73"/>
      <c r="J55" s="73"/>
    </row>
    <row r="56" spans="1:10" s="2" customFormat="1" ht="13.5" customHeight="1">
      <c r="A56" s="408" t="s">
        <v>2816</v>
      </c>
      <c r="B56" s="408"/>
      <c r="C56" s="408"/>
      <c r="D56" s="408"/>
      <c r="E56" s="408"/>
      <c r="F56" s="408"/>
      <c r="G56" s="447"/>
      <c r="H56" s="15">
        <v>268</v>
      </c>
      <c r="I56" s="73"/>
      <c r="J56" s="73"/>
    </row>
    <row r="57" spans="1:10" s="2" customFormat="1" ht="25.5" customHeight="1">
      <c r="A57" s="408" t="s">
        <v>644</v>
      </c>
      <c r="B57" s="408"/>
      <c r="C57" s="408"/>
      <c r="D57" s="408"/>
      <c r="E57" s="408"/>
      <c r="F57" s="408"/>
      <c r="G57" s="447"/>
      <c r="H57" s="15">
        <v>269</v>
      </c>
      <c r="I57" s="73"/>
      <c r="J57" s="73"/>
    </row>
    <row r="58" spans="1:10" s="2" customFormat="1" ht="13.5" customHeight="1">
      <c r="A58" s="408" t="s">
        <v>2817</v>
      </c>
      <c r="B58" s="408"/>
      <c r="C58" s="408"/>
      <c r="D58" s="408"/>
      <c r="E58" s="408"/>
      <c r="F58" s="408"/>
      <c r="G58" s="447"/>
      <c r="H58" s="15">
        <v>270</v>
      </c>
      <c r="I58" s="73"/>
      <c r="J58" s="73"/>
    </row>
    <row r="59" spans="1:10" s="2" customFormat="1" ht="13.5" customHeight="1">
      <c r="A59" s="408" t="s">
        <v>2818</v>
      </c>
      <c r="B59" s="408"/>
      <c r="C59" s="408"/>
      <c r="D59" s="408"/>
      <c r="E59" s="408"/>
      <c r="F59" s="408"/>
      <c r="G59" s="447"/>
      <c r="H59" s="15">
        <v>271</v>
      </c>
      <c r="I59" s="73"/>
      <c r="J59" s="73"/>
    </row>
    <row r="60" spans="1:10" s="2" customFormat="1" ht="13.5" customHeight="1">
      <c r="A60" s="408" t="s">
        <v>2819</v>
      </c>
      <c r="B60" s="408"/>
      <c r="C60" s="408"/>
      <c r="D60" s="408"/>
      <c r="E60" s="408"/>
      <c r="F60" s="408"/>
      <c r="G60" s="447"/>
      <c r="H60" s="15">
        <v>272</v>
      </c>
      <c r="I60" s="73"/>
      <c r="J60" s="73"/>
    </row>
    <row r="61" spans="1:10" s="2" customFormat="1" ht="13.5" customHeight="1">
      <c r="A61" s="448" t="s">
        <v>645</v>
      </c>
      <c r="B61" s="448"/>
      <c r="C61" s="448"/>
      <c r="D61" s="448"/>
      <c r="E61" s="448"/>
      <c r="F61" s="448"/>
      <c r="G61" s="449"/>
      <c r="H61" s="15">
        <v>273</v>
      </c>
      <c r="I61" s="73"/>
      <c r="J61" s="73"/>
    </row>
    <row r="62" spans="1:10" s="2" customFormat="1" ht="13.5" customHeight="1">
      <c r="A62" s="408" t="s">
        <v>2820</v>
      </c>
      <c r="B62" s="408"/>
      <c r="C62" s="408"/>
      <c r="D62" s="408"/>
      <c r="E62" s="408"/>
      <c r="F62" s="408"/>
      <c r="G62" s="447"/>
      <c r="H62" s="15">
        <v>274</v>
      </c>
      <c r="I62" s="73">
        <v>294</v>
      </c>
      <c r="J62" s="73">
        <v>253</v>
      </c>
    </row>
    <row r="63" spans="1:10" s="2" customFormat="1" ht="13.5" customHeight="1">
      <c r="A63" s="408" t="s">
        <v>2821</v>
      </c>
      <c r="B63" s="408"/>
      <c r="C63" s="408"/>
      <c r="D63" s="408"/>
      <c r="E63" s="408"/>
      <c r="F63" s="408"/>
      <c r="G63" s="447"/>
      <c r="H63" s="15">
        <v>275</v>
      </c>
      <c r="I63" s="73"/>
      <c r="J63" s="73"/>
    </row>
    <row r="64" spans="1:10" s="2" customFormat="1" ht="13.5" customHeight="1">
      <c r="A64" s="408" t="s">
        <v>2822</v>
      </c>
      <c r="B64" s="408"/>
      <c r="C64" s="408"/>
      <c r="D64" s="408"/>
      <c r="E64" s="408"/>
      <c r="F64" s="408"/>
      <c r="G64" s="447"/>
      <c r="H64" s="15">
        <v>276</v>
      </c>
      <c r="I64" s="73"/>
      <c r="J64" s="73"/>
    </row>
    <row r="65" spans="1:10" s="2" customFormat="1" ht="13.5" customHeight="1">
      <c r="A65" s="408" t="s">
        <v>642</v>
      </c>
      <c r="B65" s="408"/>
      <c r="C65" s="408"/>
      <c r="D65" s="408"/>
      <c r="E65" s="408"/>
      <c r="F65" s="408"/>
      <c r="G65" s="447"/>
      <c r="H65" s="15">
        <v>277</v>
      </c>
      <c r="I65" s="73"/>
      <c r="J65" s="73"/>
    </row>
    <row r="66" spans="1:10" s="2" customFormat="1" ht="13.5" customHeight="1">
      <c r="A66" s="448" t="s">
        <v>2658</v>
      </c>
      <c r="B66" s="448"/>
      <c r="C66" s="448"/>
      <c r="D66" s="448"/>
      <c r="E66" s="448"/>
      <c r="F66" s="448"/>
      <c r="G66" s="449"/>
      <c r="H66" s="15">
        <v>278</v>
      </c>
      <c r="I66" s="73"/>
      <c r="J66" s="73"/>
    </row>
    <row r="67" spans="1:10" s="2" customFormat="1" ht="24.75" customHeight="1">
      <c r="A67" s="408" t="s">
        <v>2107</v>
      </c>
      <c r="B67" s="408"/>
      <c r="C67" s="408"/>
      <c r="D67" s="408"/>
      <c r="E67" s="408"/>
      <c r="F67" s="408"/>
      <c r="G67" s="447"/>
      <c r="H67" s="15">
        <v>279</v>
      </c>
      <c r="I67" s="73"/>
      <c r="J67" s="73"/>
    </row>
    <row r="68" spans="1:10" s="2" customFormat="1" ht="13.5" customHeight="1">
      <c r="A68" s="408" t="s">
        <v>648</v>
      </c>
      <c r="B68" s="408"/>
      <c r="C68" s="408"/>
      <c r="D68" s="408"/>
      <c r="E68" s="408"/>
      <c r="F68" s="408"/>
      <c r="G68" s="447"/>
      <c r="H68" s="15">
        <v>280</v>
      </c>
      <c r="I68" s="73"/>
      <c r="J68" s="73"/>
    </row>
    <row r="69" spans="1:10" s="2" customFormat="1" ht="13.5" customHeight="1">
      <c r="A69" s="408" t="s">
        <v>647</v>
      </c>
      <c r="B69" s="408"/>
      <c r="C69" s="408"/>
      <c r="D69" s="408"/>
      <c r="E69" s="408"/>
      <c r="F69" s="408"/>
      <c r="G69" s="447"/>
      <c r="H69" s="15">
        <v>281</v>
      </c>
      <c r="I69" s="73"/>
      <c r="J69" s="73"/>
    </row>
    <row r="70" spans="1:10" s="2" customFormat="1" ht="24.75" customHeight="1">
      <c r="A70" s="408" t="s">
        <v>646</v>
      </c>
      <c r="B70" s="408"/>
      <c r="C70" s="408"/>
      <c r="D70" s="408"/>
      <c r="E70" s="408"/>
      <c r="F70" s="408"/>
      <c r="G70" s="447"/>
      <c r="H70" s="15">
        <v>282</v>
      </c>
      <c r="I70" s="73"/>
      <c r="J70" s="73"/>
    </row>
    <row r="71" spans="1:10" s="2" customFormat="1" ht="13.5" customHeight="1">
      <c r="A71" s="412" t="s">
        <v>2055</v>
      </c>
      <c r="B71" s="412"/>
      <c r="C71" s="412"/>
      <c r="D71" s="412"/>
      <c r="E71" s="412"/>
      <c r="F71" s="412"/>
      <c r="G71" s="452"/>
      <c r="H71" s="17">
        <v>283</v>
      </c>
      <c r="I71" s="74"/>
      <c r="J71" s="74"/>
    </row>
    <row r="72" spans="1:10" s="2" customFormat="1" ht="13.5" customHeight="1">
      <c r="A72" s="442" t="s">
        <v>1030</v>
      </c>
      <c r="B72" s="443"/>
      <c r="C72" s="443"/>
      <c r="D72" s="443"/>
      <c r="E72" s="443"/>
      <c r="F72" s="443"/>
      <c r="G72" s="443"/>
      <c r="H72" s="443"/>
      <c r="I72" s="443"/>
      <c r="J72" s="444"/>
    </row>
    <row r="73" spans="1:10" s="2" customFormat="1" ht="13.5" customHeight="1">
      <c r="A73" s="445" t="s">
        <v>990</v>
      </c>
      <c r="B73" s="445"/>
      <c r="C73" s="445"/>
      <c r="D73" s="445"/>
      <c r="E73" s="445"/>
      <c r="F73" s="445"/>
      <c r="G73" s="446"/>
      <c r="H73" s="88">
        <v>284</v>
      </c>
      <c r="I73" s="90"/>
      <c r="J73" s="90"/>
    </row>
    <row r="74" spans="1:10" s="2" customFormat="1" ht="13.5" customHeight="1">
      <c r="A74" s="408" t="s">
        <v>991</v>
      </c>
      <c r="B74" s="408"/>
      <c r="C74" s="408"/>
      <c r="D74" s="408"/>
      <c r="E74" s="408"/>
      <c r="F74" s="408"/>
      <c r="G74" s="447"/>
      <c r="H74" s="15">
        <v>285</v>
      </c>
      <c r="I74" s="73"/>
      <c r="J74" s="73"/>
    </row>
    <row r="75" spans="1:10" s="2" customFormat="1" ht="13.5" customHeight="1">
      <c r="A75" s="408" t="s">
        <v>2231</v>
      </c>
      <c r="B75" s="408"/>
      <c r="C75" s="408"/>
      <c r="D75" s="408"/>
      <c r="E75" s="408"/>
      <c r="F75" s="408"/>
      <c r="G75" s="447"/>
      <c r="H75" s="15">
        <v>286</v>
      </c>
      <c r="I75" s="73"/>
      <c r="J75" s="73"/>
    </row>
    <row r="76" spans="1:10" s="2" customFormat="1" ht="13.5" customHeight="1">
      <c r="A76" s="412" t="s">
        <v>2232</v>
      </c>
      <c r="B76" s="412"/>
      <c r="C76" s="412"/>
      <c r="D76" s="412"/>
      <c r="E76" s="412"/>
      <c r="F76" s="412"/>
      <c r="G76" s="452"/>
      <c r="H76" s="17">
        <v>287</v>
      </c>
      <c r="I76" s="74"/>
      <c r="J76" s="74"/>
    </row>
    <row r="77" spans="1:10" s="2" customFormat="1" ht="13.5" customHeight="1">
      <c r="A77" s="442" t="s">
        <v>2054</v>
      </c>
      <c r="B77" s="443"/>
      <c r="C77" s="443"/>
      <c r="D77" s="443"/>
      <c r="E77" s="443"/>
      <c r="F77" s="443"/>
      <c r="G77" s="443"/>
      <c r="H77" s="443"/>
      <c r="I77" s="443"/>
      <c r="J77" s="444"/>
    </row>
    <row r="78" spans="1:10" s="2" customFormat="1" ht="24.75" customHeight="1">
      <c r="A78" s="445" t="s">
        <v>361</v>
      </c>
      <c r="B78" s="445"/>
      <c r="C78" s="445"/>
      <c r="D78" s="445"/>
      <c r="E78" s="445"/>
      <c r="F78" s="445"/>
      <c r="G78" s="446"/>
      <c r="H78" s="88">
        <v>288</v>
      </c>
      <c r="I78" s="220">
        <f>SUM(I79:I82)</f>
        <v>0</v>
      </c>
      <c r="J78" s="220">
        <f>SUM(J79:J82)</f>
        <v>0</v>
      </c>
    </row>
    <row r="79" spans="1:10" s="2" customFormat="1" ht="13.5" customHeight="1">
      <c r="A79" s="408" t="s">
        <v>1479</v>
      </c>
      <c r="B79" s="408"/>
      <c r="C79" s="408"/>
      <c r="D79" s="408"/>
      <c r="E79" s="408"/>
      <c r="F79" s="408"/>
      <c r="G79" s="447"/>
      <c r="H79" s="15">
        <v>289</v>
      </c>
      <c r="I79" s="73"/>
      <c r="J79" s="73"/>
    </row>
    <row r="80" spans="1:10" s="2" customFormat="1" ht="13.5" customHeight="1">
      <c r="A80" s="408" t="s">
        <v>1480</v>
      </c>
      <c r="B80" s="408"/>
      <c r="C80" s="408"/>
      <c r="D80" s="408"/>
      <c r="E80" s="408"/>
      <c r="F80" s="408"/>
      <c r="G80" s="447"/>
      <c r="H80" s="15">
        <v>290</v>
      </c>
      <c r="I80" s="73"/>
      <c r="J80" s="73"/>
    </row>
    <row r="81" spans="1:10" s="2" customFormat="1" ht="13.5" customHeight="1">
      <c r="A81" s="408" t="s">
        <v>201</v>
      </c>
      <c r="B81" s="408"/>
      <c r="C81" s="408"/>
      <c r="D81" s="408"/>
      <c r="E81" s="408"/>
      <c r="F81" s="408"/>
      <c r="G81" s="447"/>
      <c r="H81" s="15">
        <v>291</v>
      </c>
      <c r="I81" s="73"/>
      <c r="J81" s="73"/>
    </row>
    <row r="82" spans="1:10" s="2" customFormat="1" ht="36" customHeight="1">
      <c r="A82" s="408" t="s">
        <v>204</v>
      </c>
      <c r="B82" s="408"/>
      <c r="C82" s="408"/>
      <c r="D82" s="408"/>
      <c r="E82" s="408"/>
      <c r="F82" s="408"/>
      <c r="G82" s="447"/>
      <c r="H82" s="15">
        <v>292</v>
      </c>
      <c r="I82" s="73"/>
      <c r="J82" s="73"/>
    </row>
    <row r="83" spans="1:10" s="2" customFormat="1" ht="13.5" customHeight="1">
      <c r="A83" s="408" t="s">
        <v>202</v>
      </c>
      <c r="B83" s="408"/>
      <c r="C83" s="408"/>
      <c r="D83" s="408"/>
      <c r="E83" s="408"/>
      <c r="F83" s="408"/>
      <c r="G83" s="447"/>
      <c r="H83" s="15">
        <v>293</v>
      </c>
      <c r="I83" s="73"/>
      <c r="J83" s="73"/>
    </row>
    <row r="84" spans="1:10" s="2" customFormat="1" ht="13.5" customHeight="1">
      <c r="A84" s="408" t="s">
        <v>203</v>
      </c>
      <c r="B84" s="408"/>
      <c r="C84" s="408"/>
      <c r="D84" s="408"/>
      <c r="E84" s="408"/>
      <c r="F84" s="408"/>
      <c r="G84" s="447"/>
      <c r="H84" s="15">
        <v>294</v>
      </c>
      <c r="I84" s="73"/>
      <c r="J84" s="73"/>
    </row>
    <row r="85" spans="1:10" s="2" customFormat="1" ht="24.75" customHeight="1">
      <c r="A85" s="408" t="s">
        <v>2108</v>
      </c>
      <c r="B85" s="408"/>
      <c r="C85" s="408"/>
      <c r="D85" s="408"/>
      <c r="E85" s="408"/>
      <c r="F85" s="408"/>
      <c r="G85" s="447"/>
      <c r="H85" s="15">
        <v>295</v>
      </c>
      <c r="I85" s="73"/>
      <c r="J85" s="73"/>
    </row>
    <row r="86" spans="1:10" s="2" customFormat="1" ht="24.75" customHeight="1">
      <c r="A86" s="412" t="s">
        <v>205</v>
      </c>
      <c r="B86" s="412"/>
      <c r="C86" s="412"/>
      <c r="D86" s="412"/>
      <c r="E86" s="412"/>
      <c r="F86" s="412"/>
      <c r="G86" s="452"/>
      <c r="H86" s="17">
        <v>296</v>
      </c>
      <c r="I86" s="74"/>
      <c r="J86" s="74"/>
    </row>
    <row r="87" spans="1:10" s="2" customFormat="1" ht="13.5" customHeight="1">
      <c r="A87" s="442" t="s">
        <v>1478</v>
      </c>
      <c r="B87" s="443"/>
      <c r="C87" s="443"/>
      <c r="D87" s="443"/>
      <c r="E87" s="443"/>
      <c r="F87" s="443"/>
      <c r="G87" s="443"/>
      <c r="H87" s="443"/>
      <c r="I87" s="443"/>
      <c r="J87" s="444"/>
    </row>
    <row r="88" spans="1:13" s="2" customFormat="1" ht="36" customHeight="1">
      <c r="A88" s="450" t="s">
        <v>206</v>
      </c>
      <c r="B88" s="450"/>
      <c r="C88" s="450"/>
      <c r="D88" s="450"/>
      <c r="E88" s="450"/>
      <c r="F88" s="450"/>
      <c r="G88" s="451"/>
      <c r="H88" s="91">
        <v>297</v>
      </c>
      <c r="I88" s="92"/>
      <c r="J88" s="92"/>
      <c r="M88" s="84"/>
    </row>
    <row r="89" spans="15:16" ht="4.5" customHeight="1">
      <c r="O89" s="2"/>
      <c r="P89" s="2"/>
    </row>
  </sheetData>
  <sheetProtection password="C79A" sheet="1" objects="1" scenarios="1"/>
  <mergeCells count="87">
    <mergeCell ref="A68:G68"/>
    <mergeCell ref="A67:G67"/>
    <mergeCell ref="A85:G85"/>
    <mergeCell ref="A83:G83"/>
    <mergeCell ref="A84:G84"/>
    <mergeCell ref="A81:G81"/>
    <mergeCell ref="A82:G82"/>
    <mergeCell ref="A58:G58"/>
    <mergeCell ref="A49:G49"/>
    <mergeCell ref="A62:G62"/>
    <mergeCell ref="A63:G63"/>
    <mergeCell ref="A77:J77"/>
    <mergeCell ref="A73:G73"/>
    <mergeCell ref="A69:G69"/>
    <mergeCell ref="A70:G70"/>
    <mergeCell ref="A72:J72"/>
    <mergeCell ref="A64:G64"/>
    <mergeCell ref="A87:J87"/>
    <mergeCell ref="A86:G86"/>
    <mergeCell ref="A65:G65"/>
    <mergeCell ref="A8:J8"/>
    <mergeCell ref="A9:G9"/>
    <mergeCell ref="A10:G10"/>
    <mergeCell ref="A11:G11"/>
    <mergeCell ref="A61:G61"/>
    <mergeCell ref="A47:G47"/>
    <mergeCell ref="A57:G57"/>
    <mergeCell ref="A56:G56"/>
    <mergeCell ref="A53:G53"/>
    <mergeCell ref="A88:G88"/>
    <mergeCell ref="A71:G71"/>
    <mergeCell ref="A79:G79"/>
    <mergeCell ref="A80:G80"/>
    <mergeCell ref="A78:G78"/>
    <mergeCell ref="A76:G76"/>
    <mergeCell ref="A74:G74"/>
    <mergeCell ref="A75:G75"/>
    <mergeCell ref="A41:J41"/>
    <mergeCell ref="A36:J36"/>
    <mergeCell ref="A50:G50"/>
    <mergeCell ref="A48:J48"/>
    <mergeCell ref="A34:G34"/>
    <mergeCell ref="A66:G66"/>
    <mergeCell ref="A59:G59"/>
    <mergeCell ref="A60:G60"/>
    <mergeCell ref="A51:G51"/>
    <mergeCell ref="A52:G52"/>
    <mergeCell ref="A39:J39"/>
    <mergeCell ref="A37:G37"/>
    <mergeCell ref="A32:G32"/>
    <mergeCell ref="A33:G33"/>
    <mergeCell ref="A54:G54"/>
    <mergeCell ref="A55:G55"/>
    <mergeCell ref="A42:G42"/>
    <mergeCell ref="A43:G43"/>
    <mergeCell ref="A40:G40"/>
    <mergeCell ref="A38:G38"/>
    <mergeCell ref="A19:G19"/>
    <mergeCell ref="A20:G20"/>
    <mergeCell ref="A30:G30"/>
    <mergeCell ref="A31:G31"/>
    <mergeCell ref="A28:G28"/>
    <mergeCell ref="A29:G29"/>
    <mergeCell ref="A26:G26"/>
    <mergeCell ref="A27:G27"/>
    <mergeCell ref="A22:J22"/>
    <mergeCell ref="A25:G25"/>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0</v>
      </c>
      <c r="R1" s="69" t="s">
        <v>792</v>
      </c>
    </row>
    <row r="2" spans="1:18" s="2" customFormat="1" ht="19.5" customHeight="1">
      <c r="A2" s="436" t="s">
        <v>1102</v>
      </c>
      <c r="B2" s="437"/>
      <c r="C2" s="437"/>
      <c r="D2" s="437"/>
      <c r="E2" s="437"/>
      <c r="F2" s="437"/>
      <c r="G2" s="437"/>
      <c r="H2" s="437"/>
      <c r="I2" s="458"/>
      <c r="J2" s="392" t="s">
        <v>1212</v>
      </c>
      <c r="Q2" s="70">
        <f>IF(OR(MIN(I8:I60)&lt;0,MAX(I8:I60)&gt;0),1,0)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59"/>
      <c r="J3" s="426"/>
      <c r="Q3" s="70">
        <f>IF(OR(MIN(J8:J60)&lt;0,MAX(J8:J60)&gt;0),1,0)</f>
        <v>0</v>
      </c>
      <c r="R3" s="69" t="s">
        <v>1205</v>
      </c>
    </row>
    <row r="4" spans="1:9" s="2" customFormat="1" ht="4.5" customHeight="1">
      <c r="A4" s="112"/>
      <c r="B4" s="85"/>
      <c r="C4" s="85"/>
      <c r="D4" s="85"/>
      <c r="E4" s="85"/>
      <c r="F4" s="85"/>
      <c r="G4" s="85"/>
      <c r="H4" s="85"/>
      <c r="I4" s="86"/>
    </row>
    <row r="5" spans="1:10" s="2" customFormat="1" ht="15" customHeight="1">
      <c r="A5" s="400" t="str">
        <f>"Obveznik: "&amp;IF(RefStr!C27&lt;&gt;"",RefStr!C27,"________")&amp;"; "&amp;IF(RefStr!C29&lt;&gt;"",RefStr!C29,"________________________________________________________"&amp;"; "&amp;IF(RefStr!F31&lt;&gt;"",RefStr!F31,"_______________"))</f>
        <v>Obveznik: 34347571917; AQUAPARK ZELINA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0" s="2" customFormat="1" ht="13.5" customHeight="1">
      <c r="A9" s="445" t="s">
        <v>208</v>
      </c>
      <c r="B9" s="445"/>
      <c r="C9" s="445"/>
      <c r="D9" s="445"/>
      <c r="E9" s="445"/>
      <c r="F9" s="445"/>
      <c r="G9" s="88">
        <v>1</v>
      </c>
      <c r="H9" s="120"/>
      <c r="I9" s="138"/>
      <c r="J9" s="138"/>
    </row>
    <row r="10" spans="1:10" s="2" customFormat="1" ht="13.5" customHeight="1">
      <c r="A10" s="408" t="s">
        <v>71</v>
      </c>
      <c r="B10" s="408"/>
      <c r="C10" s="408"/>
      <c r="D10" s="408"/>
      <c r="E10" s="408"/>
      <c r="F10" s="408"/>
      <c r="G10" s="15">
        <v>2</v>
      </c>
      <c r="H10" s="19"/>
      <c r="I10" s="121">
        <f>SUM(I11:I18)</f>
        <v>0</v>
      </c>
      <c r="J10" s="121">
        <f>SUM(J11:J18)</f>
        <v>0</v>
      </c>
    </row>
    <row r="11" spans="1:12" s="2" customFormat="1" ht="13.5" customHeight="1">
      <c r="A11" s="448" t="s">
        <v>1543</v>
      </c>
      <c r="B11" s="448"/>
      <c r="C11" s="448"/>
      <c r="D11" s="448"/>
      <c r="E11" s="448"/>
      <c r="F11" s="448"/>
      <c r="G11" s="15">
        <v>3</v>
      </c>
      <c r="H11" s="19"/>
      <c r="I11" s="122"/>
      <c r="J11" s="122"/>
      <c r="L11" s="2" t="s">
        <v>2525</v>
      </c>
    </row>
    <row r="12" spans="1:10" s="2" customFormat="1" ht="24.75" customHeight="1">
      <c r="A12" s="448" t="s">
        <v>2441</v>
      </c>
      <c r="B12" s="448"/>
      <c r="C12" s="448"/>
      <c r="D12" s="448"/>
      <c r="E12" s="448"/>
      <c r="F12" s="448"/>
      <c r="G12" s="15">
        <v>4</v>
      </c>
      <c r="H12" s="19"/>
      <c r="I12" s="122"/>
      <c r="J12" s="122"/>
    </row>
    <row r="13" spans="1:10" s="2" customFormat="1" ht="24.75" customHeight="1">
      <c r="A13" s="448" t="s">
        <v>2442</v>
      </c>
      <c r="B13" s="448"/>
      <c r="C13" s="448"/>
      <c r="D13" s="448"/>
      <c r="E13" s="448"/>
      <c r="F13" s="448"/>
      <c r="G13" s="15">
        <v>5</v>
      </c>
      <c r="H13" s="19"/>
      <c r="I13" s="122"/>
      <c r="J13" s="122"/>
    </row>
    <row r="14" spans="1:12" s="2" customFormat="1" ht="13.5" customHeight="1">
      <c r="A14" s="448" t="s">
        <v>1544</v>
      </c>
      <c r="B14" s="448"/>
      <c r="C14" s="448"/>
      <c r="D14" s="448"/>
      <c r="E14" s="448"/>
      <c r="F14" s="448"/>
      <c r="G14" s="15">
        <v>6</v>
      </c>
      <c r="H14" s="19"/>
      <c r="I14" s="122"/>
      <c r="J14" s="122"/>
      <c r="L14" s="2" t="s">
        <v>1209</v>
      </c>
    </row>
    <row r="15" spans="1:12" s="2" customFormat="1" ht="13.5" customHeight="1">
      <c r="A15" s="448" t="s">
        <v>1545</v>
      </c>
      <c r="B15" s="448"/>
      <c r="C15" s="448"/>
      <c r="D15" s="448"/>
      <c r="E15" s="448"/>
      <c r="F15" s="448"/>
      <c r="G15" s="15">
        <v>7</v>
      </c>
      <c r="H15" s="19"/>
      <c r="I15" s="122"/>
      <c r="J15" s="122"/>
      <c r="L15" s="2" t="s">
        <v>2525</v>
      </c>
    </row>
    <row r="16" spans="1:10" s="2" customFormat="1" ht="13.5" customHeight="1">
      <c r="A16" s="448" t="s">
        <v>1546</v>
      </c>
      <c r="B16" s="448"/>
      <c r="C16" s="448"/>
      <c r="D16" s="448"/>
      <c r="E16" s="448"/>
      <c r="F16" s="448"/>
      <c r="G16" s="15">
        <v>8</v>
      </c>
      <c r="H16" s="19"/>
      <c r="I16" s="122"/>
      <c r="J16" s="122"/>
    </row>
    <row r="17" spans="1:10" s="2" customFormat="1" ht="13.5" customHeight="1">
      <c r="A17" s="448" t="s">
        <v>1547</v>
      </c>
      <c r="B17" s="448"/>
      <c r="C17" s="448"/>
      <c r="D17" s="448"/>
      <c r="E17" s="448"/>
      <c r="F17" s="448"/>
      <c r="G17" s="15">
        <v>9</v>
      </c>
      <c r="H17" s="19"/>
      <c r="I17" s="122"/>
      <c r="J17" s="122"/>
    </row>
    <row r="18" spans="1:10" s="2" customFormat="1" ht="13.5" customHeight="1">
      <c r="A18" s="448" t="s">
        <v>2440</v>
      </c>
      <c r="B18" s="448"/>
      <c r="C18" s="448"/>
      <c r="D18" s="448"/>
      <c r="E18" s="448"/>
      <c r="F18" s="448"/>
      <c r="G18" s="15">
        <v>10</v>
      </c>
      <c r="H18" s="19"/>
      <c r="I18" s="122"/>
      <c r="J18" s="122"/>
    </row>
    <row r="19" spans="1:14" s="2" customFormat="1" ht="24.75" customHeight="1">
      <c r="A19" s="411" t="s">
        <v>2439</v>
      </c>
      <c r="B19" s="411"/>
      <c r="C19" s="411"/>
      <c r="D19" s="411"/>
      <c r="E19" s="411"/>
      <c r="F19" s="411"/>
      <c r="G19" s="15">
        <v>11</v>
      </c>
      <c r="H19" s="19"/>
      <c r="I19" s="121">
        <f>I9+I10</f>
        <v>0</v>
      </c>
      <c r="J19" s="121">
        <f>J9+J10</f>
        <v>0</v>
      </c>
      <c r="N19" s="2">
        <f>IF(MIN(NT_I!I11:J11,NT_I!I15:J15,NT_I!I30:J36,NT_I!I59:J60)&lt;0,1,0)</f>
        <v>0</v>
      </c>
    </row>
    <row r="20" spans="1:10" s="2" customFormat="1" ht="13.5" customHeight="1">
      <c r="A20" s="408" t="s">
        <v>21</v>
      </c>
      <c r="B20" s="408"/>
      <c r="C20" s="408"/>
      <c r="D20" s="408"/>
      <c r="E20" s="408"/>
      <c r="F20" s="408"/>
      <c r="G20" s="15">
        <v>12</v>
      </c>
      <c r="H20" s="19"/>
      <c r="I20" s="121">
        <f>SUM(I21:I24)</f>
        <v>0</v>
      </c>
      <c r="J20" s="121">
        <f>SUM(J21:J24)</f>
        <v>0</v>
      </c>
    </row>
    <row r="21" spans="1:10" s="2" customFormat="1" ht="13.5" customHeight="1">
      <c r="A21" s="448" t="s">
        <v>2353</v>
      </c>
      <c r="B21" s="448"/>
      <c r="C21" s="448"/>
      <c r="D21" s="448"/>
      <c r="E21" s="448"/>
      <c r="F21" s="448"/>
      <c r="G21" s="15">
        <v>13</v>
      </c>
      <c r="H21" s="19"/>
      <c r="I21" s="122"/>
      <c r="J21" s="122"/>
    </row>
    <row r="22" spans="1:10" s="2" customFormat="1" ht="13.5" customHeight="1">
      <c r="A22" s="448" t="s">
        <v>2354</v>
      </c>
      <c r="B22" s="448"/>
      <c r="C22" s="448"/>
      <c r="D22" s="448"/>
      <c r="E22" s="448"/>
      <c r="F22" s="448"/>
      <c r="G22" s="15">
        <v>14</v>
      </c>
      <c r="H22" s="19"/>
      <c r="I22" s="122"/>
      <c r="J22" s="122"/>
    </row>
    <row r="23" spans="1:10" s="2" customFormat="1" ht="13.5" customHeight="1">
      <c r="A23" s="448" t="s">
        <v>2355</v>
      </c>
      <c r="B23" s="448"/>
      <c r="C23" s="448"/>
      <c r="D23" s="448"/>
      <c r="E23" s="448"/>
      <c r="F23" s="448"/>
      <c r="G23" s="15">
        <v>15</v>
      </c>
      <c r="H23" s="19"/>
      <c r="I23" s="122"/>
      <c r="J23" s="122"/>
    </row>
    <row r="24" spans="1:10" s="2" customFormat="1" ht="13.5" customHeight="1">
      <c r="A24" s="448" t="s">
        <v>2356</v>
      </c>
      <c r="B24" s="448"/>
      <c r="C24" s="448"/>
      <c r="D24" s="448"/>
      <c r="E24" s="448"/>
      <c r="F24" s="448"/>
      <c r="G24" s="15">
        <v>16</v>
      </c>
      <c r="H24" s="19"/>
      <c r="I24" s="122"/>
      <c r="J24" s="122"/>
    </row>
    <row r="25" spans="1:10" s="2" customFormat="1" ht="13.5" customHeight="1">
      <c r="A25" s="411" t="s">
        <v>2936</v>
      </c>
      <c r="B25" s="411"/>
      <c r="C25" s="411"/>
      <c r="D25" s="411"/>
      <c r="E25" s="411"/>
      <c r="F25" s="411"/>
      <c r="G25" s="15">
        <v>17</v>
      </c>
      <c r="H25" s="19"/>
      <c r="I25" s="121">
        <f>I19+I20</f>
        <v>0</v>
      </c>
      <c r="J25" s="121">
        <f>J19+J20</f>
        <v>0</v>
      </c>
    </row>
    <row r="26" spans="1:12" s="2" customFormat="1" ht="13.5" customHeight="1">
      <c r="A26" s="408" t="s">
        <v>1787</v>
      </c>
      <c r="B26" s="408"/>
      <c r="C26" s="408"/>
      <c r="D26" s="408"/>
      <c r="E26" s="408"/>
      <c r="F26" s="408"/>
      <c r="G26" s="15">
        <v>18</v>
      </c>
      <c r="H26" s="19"/>
      <c r="I26" s="122"/>
      <c r="J26" s="122"/>
      <c r="L26" s="2" t="s">
        <v>1209</v>
      </c>
    </row>
    <row r="27" spans="1:10" s="2" customFormat="1" ht="13.5" customHeight="1">
      <c r="A27" s="408" t="s">
        <v>1788</v>
      </c>
      <c r="B27" s="408"/>
      <c r="C27" s="408"/>
      <c r="D27" s="408"/>
      <c r="E27" s="408"/>
      <c r="F27" s="408"/>
      <c r="G27" s="15">
        <v>19</v>
      </c>
      <c r="H27" s="19"/>
      <c r="I27" s="122"/>
      <c r="J27" s="122"/>
    </row>
    <row r="28" spans="1:10" s="2" customFormat="1" ht="13.5" customHeight="1">
      <c r="A28" s="453" t="s">
        <v>70</v>
      </c>
      <c r="B28" s="453"/>
      <c r="C28" s="453"/>
      <c r="D28" s="453"/>
      <c r="E28" s="453"/>
      <c r="F28" s="453"/>
      <c r="G28" s="17">
        <v>20</v>
      </c>
      <c r="H28" s="20"/>
      <c r="I28" s="123">
        <f>SUM(I25:I27)</f>
        <v>0</v>
      </c>
      <c r="J28" s="123">
        <f>SUM(J25:J27)</f>
        <v>0</v>
      </c>
    </row>
    <row r="29" spans="1:10" s="2" customFormat="1" ht="15" customHeight="1">
      <c r="A29" s="442" t="s">
        <v>2357</v>
      </c>
      <c r="B29" s="443"/>
      <c r="C29" s="443"/>
      <c r="D29" s="443"/>
      <c r="E29" s="443"/>
      <c r="F29" s="443"/>
      <c r="G29" s="443"/>
      <c r="H29" s="443"/>
      <c r="I29" s="443"/>
      <c r="J29" s="444"/>
    </row>
    <row r="30" spans="1:12" s="2" customFormat="1" ht="13.5" customHeight="1">
      <c r="A30" s="445" t="s">
        <v>61</v>
      </c>
      <c r="B30" s="445"/>
      <c r="C30" s="445"/>
      <c r="D30" s="445"/>
      <c r="E30" s="445"/>
      <c r="F30" s="445"/>
      <c r="G30" s="88">
        <v>21</v>
      </c>
      <c r="H30" s="120"/>
      <c r="I30" s="90"/>
      <c r="J30" s="90"/>
      <c r="L30" s="2" t="s">
        <v>2525</v>
      </c>
    </row>
    <row r="31" spans="1:12" s="2" customFormat="1" ht="13.5" customHeight="1">
      <c r="A31" s="408" t="s">
        <v>62</v>
      </c>
      <c r="B31" s="408"/>
      <c r="C31" s="408"/>
      <c r="D31" s="408"/>
      <c r="E31" s="408"/>
      <c r="F31" s="408"/>
      <c r="G31" s="15">
        <v>22</v>
      </c>
      <c r="H31" s="19"/>
      <c r="I31" s="73"/>
      <c r="J31" s="73"/>
      <c r="L31" s="2" t="s">
        <v>2525</v>
      </c>
    </row>
    <row r="32" spans="1:12" s="2" customFormat="1" ht="13.5" customHeight="1">
      <c r="A32" s="408" t="s">
        <v>63</v>
      </c>
      <c r="B32" s="408"/>
      <c r="C32" s="408"/>
      <c r="D32" s="408"/>
      <c r="E32" s="408"/>
      <c r="F32" s="408"/>
      <c r="G32" s="15">
        <v>23</v>
      </c>
      <c r="H32" s="19"/>
      <c r="I32" s="73"/>
      <c r="J32" s="73"/>
      <c r="L32" s="2" t="s">
        <v>2525</v>
      </c>
    </row>
    <row r="33" spans="1:12" s="2" customFormat="1" ht="13.5" customHeight="1">
      <c r="A33" s="408" t="s">
        <v>64</v>
      </c>
      <c r="B33" s="408"/>
      <c r="C33" s="408"/>
      <c r="D33" s="408"/>
      <c r="E33" s="408"/>
      <c r="F33" s="408"/>
      <c r="G33" s="15">
        <v>24</v>
      </c>
      <c r="H33" s="19"/>
      <c r="I33" s="73"/>
      <c r="J33" s="73"/>
      <c r="L33" s="2" t="s">
        <v>2525</v>
      </c>
    </row>
    <row r="34" spans="1:12" s="2" customFormat="1" ht="13.5" customHeight="1">
      <c r="A34" s="408" t="s">
        <v>65</v>
      </c>
      <c r="B34" s="408"/>
      <c r="C34" s="408"/>
      <c r="D34" s="408"/>
      <c r="E34" s="408"/>
      <c r="F34" s="408"/>
      <c r="G34" s="15">
        <v>25</v>
      </c>
      <c r="H34" s="19"/>
      <c r="I34" s="73"/>
      <c r="J34" s="73"/>
      <c r="L34" s="2" t="s">
        <v>2525</v>
      </c>
    </row>
    <row r="35" spans="1:12" s="2" customFormat="1" ht="13.5" customHeight="1">
      <c r="A35" s="408" t="s">
        <v>2358</v>
      </c>
      <c r="B35" s="408"/>
      <c r="C35" s="408"/>
      <c r="D35" s="408"/>
      <c r="E35" s="408"/>
      <c r="F35" s="408"/>
      <c r="G35" s="15">
        <v>26</v>
      </c>
      <c r="H35" s="19"/>
      <c r="I35" s="73"/>
      <c r="J35" s="73"/>
      <c r="L35" s="2" t="s">
        <v>2525</v>
      </c>
    </row>
    <row r="36" spans="1:12" s="2" customFormat="1" ht="13.5" customHeight="1">
      <c r="A36" s="411" t="s">
        <v>2935</v>
      </c>
      <c r="B36" s="411"/>
      <c r="C36" s="411"/>
      <c r="D36" s="411"/>
      <c r="E36" s="411"/>
      <c r="F36" s="411"/>
      <c r="G36" s="15">
        <v>27</v>
      </c>
      <c r="H36" s="19"/>
      <c r="I36" s="82">
        <f>SUM(I30:I35)</f>
        <v>0</v>
      </c>
      <c r="J36" s="82">
        <f>SUM(J30:J35)</f>
        <v>0</v>
      </c>
      <c r="L36" s="2" t="s">
        <v>2525</v>
      </c>
    </row>
    <row r="37" spans="1:12" s="2" customFormat="1" ht="13.5" customHeight="1">
      <c r="A37" s="408" t="s">
        <v>66</v>
      </c>
      <c r="B37" s="408"/>
      <c r="C37" s="408"/>
      <c r="D37" s="408"/>
      <c r="E37" s="408"/>
      <c r="F37" s="408"/>
      <c r="G37" s="15">
        <v>28</v>
      </c>
      <c r="H37" s="19"/>
      <c r="I37" s="73"/>
      <c r="J37" s="73"/>
      <c r="L37" s="2" t="s">
        <v>1209</v>
      </c>
    </row>
    <row r="38" spans="1:12" s="2" customFormat="1" ht="13.5" customHeight="1">
      <c r="A38" s="408" t="s">
        <v>67</v>
      </c>
      <c r="B38" s="408"/>
      <c r="C38" s="408"/>
      <c r="D38" s="408"/>
      <c r="E38" s="408"/>
      <c r="F38" s="408"/>
      <c r="G38" s="15">
        <v>29</v>
      </c>
      <c r="H38" s="19"/>
      <c r="I38" s="73"/>
      <c r="J38" s="73"/>
      <c r="L38" s="2" t="s">
        <v>1209</v>
      </c>
    </row>
    <row r="39" spans="1:12" s="2" customFormat="1" ht="13.5" customHeight="1">
      <c r="A39" s="408" t="s">
        <v>68</v>
      </c>
      <c r="B39" s="408"/>
      <c r="C39" s="408"/>
      <c r="D39" s="408"/>
      <c r="E39" s="408"/>
      <c r="F39" s="408"/>
      <c r="G39" s="15">
        <v>30</v>
      </c>
      <c r="H39" s="19"/>
      <c r="I39" s="73"/>
      <c r="J39" s="73"/>
      <c r="L39" s="2" t="s">
        <v>1209</v>
      </c>
    </row>
    <row r="40" spans="1:10" s="2" customFormat="1" ht="13.5" customHeight="1">
      <c r="A40" s="408" t="s">
        <v>69</v>
      </c>
      <c r="B40" s="408"/>
      <c r="C40" s="408"/>
      <c r="D40" s="408"/>
      <c r="E40" s="408"/>
      <c r="F40" s="408"/>
      <c r="G40" s="15">
        <v>31</v>
      </c>
      <c r="H40" s="19"/>
      <c r="I40" s="73"/>
      <c r="J40" s="73"/>
    </row>
    <row r="41" spans="1:12" s="2" customFormat="1" ht="13.5" customHeight="1">
      <c r="A41" s="408" t="s">
        <v>2359</v>
      </c>
      <c r="B41" s="408"/>
      <c r="C41" s="408"/>
      <c r="D41" s="408"/>
      <c r="E41" s="408"/>
      <c r="F41" s="408"/>
      <c r="G41" s="15">
        <v>32</v>
      </c>
      <c r="H41" s="19"/>
      <c r="I41" s="73"/>
      <c r="J41" s="73"/>
      <c r="L41" s="2" t="s">
        <v>1209</v>
      </c>
    </row>
    <row r="42" spans="1:12" s="2" customFormat="1" ht="13.5" customHeight="1">
      <c r="A42" s="411" t="s">
        <v>2807</v>
      </c>
      <c r="B42" s="411"/>
      <c r="C42" s="411"/>
      <c r="D42" s="411"/>
      <c r="E42" s="411"/>
      <c r="F42" s="411"/>
      <c r="G42" s="15">
        <v>33</v>
      </c>
      <c r="H42" s="19"/>
      <c r="I42" s="82">
        <f>SUM(I37:I41)</f>
        <v>0</v>
      </c>
      <c r="J42" s="82">
        <f>SUM(J37:J41)</f>
        <v>0</v>
      </c>
      <c r="L42" s="2" t="s">
        <v>1209</v>
      </c>
    </row>
    <row r="43" spans="1:10" s="2" customFormat="1" ht="13.5" customHeight="1">
      <c r="A43" s="453" t="s">
        <v>2923</v>
      </c>
      <c r="B43" s="453"/>
      <c r="C43" s="453"/>
      <c r="D43" s="453"/>
      <c r="E43" s="453"/>
      <c r="F43" s="453"/>
      <c r="G43" s="17">
        <v>34</v>
      </c>
      <c r="H43" s="20"/>
      <c r="I43" s="83">
        <f>I36+I42</f>
        <v>0</v>
      </c>
      <c r="J43" s="83">
        <f>J36+J42</f>
        <v>0</v>
      </c>
    </row>
    <row r="44" spans="1:10" s="2" customFormat="1" ht="15" customHeight="1">
      <c r="A44" s="442" t="s">
        <v>2808</v>
      </c>
      <c r="B44" s="443"/>
      <c r="C44" s="443"/>
      <c r="D44" s="443"/>
      <c r="E44" s="443"/>
      <c r="F44" s="443"/>
      <c r="G44" s="443"/>
      <c r="H44" s="443"/>
      <c r="I44" s="443"/>
      <c r="J44" s="444"/>
    </row>
    <row r="45" spans="1:12" s="2" customFormat="1" ht="13.5" customHeight="1">
      <c r="A45" s="445" t="s">
        <v>2811</v>
      </c>
      <c r="B45" s="445"/>
      <c r="C45" s="445"/>
      <c r="D45" s="445"/>
      <c r="E45" s="445"/>
      <c r="F45" s="445"/>
      <c r="G45" s="88">
        <v>35</v>
      </c>
      <c r="H45" s="120"/>
      <c r="I45" s="90"/>
      <c r="J45" s="90"/>
      <c r="L45" s="2" t="s">
        <v>2525</v>
      </c>
    </row>
    <row r="46" spans="1:12" s="2" customFormat="1" ht="13.5" customHeight="1">
      <c r="A46" s="408" t="s">
        <v>2812</v>
      </c>
      <c r="B46" s="408"/>
      <c r="C46" s="408"/>
      <c r="D46" s="408"/>
      <c r="E46" s="408"/>
      <c r="F46" s="408"/>
      <c r="G46" s="15">
        <v>36</v>
      </c>
      <c r="H46" s="19"/>
      <c r="I46" s="73"/>
      <c r="J46" s="73"/>
      <c r="L46" s="2" t="s">
        <v>2525</v>
      </c>
    </row>
    <row r="47" spans="1:12" s="2" customFormat="1" ht="13.5" customHeight="1">
      <c r="A47" s="408" t="s">
        <v>2813</v>
      </c>
      <c r="B47" s="408"/>
      <c r="C47" s="408"/>
      <c r="D47" s="408"/>
      <c r="E47" s="408"/>
      <c r="F47" s="408"/>
      <c r="G47" s="15">
        <v>37</v>
      </c>
      <c r="H47" s="19"/>
      <c r="I47" s="73"/>
      <c r="J47" s="73"/>
      <c r="L47" s="2" t="s">
        <v>2525</v>
      </c>
    </row>
    <row r="48" spans="1:12" s="2" customFormat="1" ht="13.5" customHeight="1">
      <c r="A48" s="408" t="s">
        <v>2814</v>
      </c>
      <c r="B48" s="408"/>
      <c r="C48" s="408"/>
      <c r="D48" s="408"/>
      <c r="E48" s="408"/>
      <c r="F48" s="408"/>
      <c r="G48" s="15">
        <v>38</v>
      </c>
      <c r="H48" s="19"/>
      <c r="I48" s="73"/>
      <c r="J48" s="73"/>
      <c r="L48" s="2" t="s">
        <v>2525</v>
      </c>
    </row>
    <row r="49" spans="1:12" s="2" customFormat="1" ht="13.5" customHeight="1">
      <c r="A49" s="411" t="s">
        <v>2934</v>
      </c>
      <c r="B49" s="411"/>
      <c r="C49" s="411"/>
      <c r="D49" s="411"/>
      <c r="E49" s="411"/>
      <c r="F49" s="411"/>
      <c r="G49" s="15">
        <v>39</v>
      </c>
      <c r="H49" s="19"/>
      <c r="I49" s="82">
        <f>SUM(I45:I48)</f>
        <v>0</v>
      </c>
      <c r="J49" s="82">
        <f>SUM(J45:J48)</f>
        <v>0</v>
      </c>
      <c r="L49" s="2" t="s">
        <v>2525</v>
      </c>
    </row>
    <row r="50" spans="1:12" s="2" customFormat="1" ht="24.75" customHeight="1">
      <c r="A50" s="408" t="s">
        <v>2562</v>
      </c>
      <c r="B50" s="408"/>
      <c r="C50" s="408"/>
      <c r="D50" s="408"/>
      <c r="E50" s="408"/>
      <c r="F50" s="408"/>
      <c r="G50" s="15">
        <v>40</v>
      </c>
      <c r="H50" s="19"/>
      <c r="I50" s="73"/>
      <c r="J50" s="73"/>
      <c r="L50" s="2" t="s">
        <v>1209</v>
      </c>
    </row>
    <row r="51" spans="1:12" s="2" customFormat="1" ht="13.5" customHeight="1">
      <c r="A51" s="408" t="s">
        <v>2229</v>
      </c>
      <c r="B51" s="408"/>
      <c r="C51" s="408"/>
      <c r="D51" s="408"/>
      <c r="E51" s="408"/>
      <c r="F51" s="408"/>
      <c r="G51" s="15">
        <v>41</v>
      </c>
      <c r="H51" s="19"/>
      <c r="I51" s="73"/>
      <c r="J51" s="73"/>
      <c r="L51" s="2" t="s">
        <v>1209</v>
      </c>
    </row>
    <row r="52" spans="1:12" s="2" customFormat="1" ht="13.5" customHeight="1">
      <c r="A52" s="408" t="s">
        <v>2230</v>
      </c>
      <c r="B52" s="408"/>
      <c r="C52" s="408"/>
      <c r="D52" s="408"/>
      <c r="E52" s="408"/>
      <c r="F52" s="408"/>
      <c r="G52" s="15">
        <v>42</v>
      </c>
      <c r="H52" s="19"/>
      <c r="I52" s="73"/>
      <c r="J52" s="73"/>
      <c r="L52" s="2" t="s">
        <v>1209</v>
      </c>
    </row>
    <row r="53" spans="1:12" s="2" customFormat="1" ht="13.5" customHeight="1">
      <c r="A53" s="408" t="s">
        <v>2563</v>
      </c>
      <c r="B53" s="408"/>
      <c r="C53" s="408"/>
      <c r="D53" s="408"/>
      <c r="E53" s="408"/>
      <c r="F53" s="408"/>
      <c r="G53" s="15">
        <v>43</v>
      </c>
      <c r="H53" s="19"/>
      <c r="I53" s="73"/>
      <c r="J53" s="73"/>
      <c r="L53" s="2" t="s">
        <v>1209</v>
      </c>
    </row>
    <row r="54" spans="1:12" s="2" customFormat="1" ht="13.5" customHeight="1">
      <c r="A54" s="408" t="s">
        <v>2443</v>
      </c>
      <c r="B54" s="408"/>
      <c r="C54" s="408"/>
      <c r="D54" s="408"/>
      <c r="E54" s="408"/>
      <c r="F54" s="408"/>
      <c r="G54" s="15">
        <v>44</v>
      </c>
      <c r="H54" s="19"/>
      <c r="I54" s="73"/>
      <c r="J54" s="73"/>
      <c r="L54" s="2" t="s">
        <v>1209</v>
      </c>
    </row>
    <row r="55" spans="1:12" s="2" customFormat="1" ht="13.5" customHeight="1">
      <c r="A55" s="411" t="s">
        <v>2444</v>
      </c>
      <c r="B55" s="411"/>
      <c r="C55" s="411"/>
      <c r="D55" s="411"/>
      <c r="E55" s="411"/>
      <c r="F55" s="411"/>
      <c r="G55" s="15">
        <v>45</v>
      </c>
      <c r="H55" s="19"/>
      <c r="I55" s="82">
        <f>SUM(I50:I54)</f>
        <v>0</v>
      </c>
      <c r="J55" s="82">
        <f>SUM(J50:J54)</f>
        <v>0</v>
      </c>
      <c r="L55" s="2" t="s">
        <v>1209</v>
      </c>
    </row>
    <row r="56" spans="1:10" s="2" customFormat="1" ht="13.5" customHeight="1">
      <c r="A56" s="409" t="s">
        <v>209</v>
      </c>
      <c r="B56" s="409"/>
      <c r="C56" s="409"/>
      <c r="D56" s="409"/>
      <c r="E56" s="409"/>
      <c r="F56" s="409"/>
      <c r="G56" s="15">
        <v>46</v>
      </c>
      <c r="H56" s="19"/>
      <c r="I56" s="82">
        <f>I49+I55</f>
        <v>0</v>
      </c>
      <c r="J56" s="82">
        <f>J49+J55</f>
        <v>0</v>
      </c>
    </row>
    <row r="57" spans="1:10" s="2" customFormat="1" ht="13.5" customHeight="1">
      <c r="A57" s="387" t="s">
        <v>2809</v>
      </c>
      <c r="B57" s="387"/>
      <c r="C57" s="387"/>
      <c r="D57" s="387"/>
      <c r="E57" s="387"/>
      <c r="F57" s="387"/>
      <c r="G57" s="15">
        <v>47</v>
      </c>
      <c r="H57" s="19"/>
      <c r="I57" s="73"/>
      <c r="J57" s="73"/>
    </row>
    <row r="58" spans="1:10" s="2" customFormat="1" ht="13.5" customHeight="1">
      <c r="A58" s="409" t="s">
        <v>2561</v>
      </c>
      <c r="B58" s="409"/>
      <c r="C58" s="409"/>
      <c r="D58" s="409"/>
      <c r="E58" s="409"/>
      <c r="F58" s="409"/>
      <c r="G58" s="15">
        <v>48</v>
      </c>
      <c r="H58" s="19"/>
      <c r="I58" s="82">
        <f>I28+I43+I56+I57</f>
        <v>0</v>
      </c>
      <c r="J58" s="82">
        <f>J28+J43+J56+J57</f>
        <v>0</v>
      </c>
    </row>
    <row r="59" spans="1:12" s="2" customFormat="1" ht="13.5" customHeight="1">
      <c r="A59" s="409" t="s">
        <v>2810</v>
      </c>
      <c r="B59" s="409"/>
      <c r="C59" s="409"/>
      <c r="D59" s="409"/>
      <c r="E59" s="409"/>
      <c r="F59" s="409"/>
      <c r="G59" s="15">
        <v>49</v>
      </c>
      <c r="H59" s="19"/>
      <c r="I59" s="73"/>
      <c r="J59" s="73"/>
      <c r="L59" s="2" t="s">
        <v>2525</v>
      </c>
    </row>
    <row r="60" spans="1:18" s="2" customFormat="1" ht="13.5" customHeight="1">
      <c r="A60" s="453" t="s">
        <v>2560</v>
      </c>
      <c r="B60" s="453"/>
      <c r="C60" s="453"/>
      <c r="D60" s="453"/>
      <c r="E60" s="453"/>
      <c r="F60" s="453"/>
      <c r="G60" s="17">
        <v>50</v>
      </c>
      <c r="H60" s="20"/>
      <c r="I60" s="83">
        <f>I59+I58</f>
        <v>0</v>
      </c>
      <c r="J60" s="83">
        <f>J59+J58</f>
        <v>0</v>
      </c>
      <c r="L60" s="2" t="s">
        <v>2525</v>
      </c>
      <c r="Q60" s="78"/>
      <c r="R60" s="78"/>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51:F51"/>
    <mergeCell ref="A39:F39"/>
    <mergeCell ref="A32:F32"/>
    <mergeCell ref="A35:F35"/>
    <mergeCell ref="A33:F33"/>
    <mergeCell ref="A34:F34"/>
    <mergeCell ref="A45:F45"/>
    <mergeCell ref="A44:J44"/>
    <mergeCell ref="A43:F43"/>
    <mergeCell ref="A42:F42"/>
    <mergeCell ref="A24:F24"/>
    <mergeCell ref="A28:F28"/>
    <mergeCell ref="A50:F50"/>
    <mergeCell ref="A27:F27"/>
    <mergeCell ref="A38:F38"/>
    <mergeCell ref="A46:F46"/>
    <mergeCell ref="A49:F49"/>
    <mergeCell ref="A47:F47"/>
    <mergeCell ref="A48:F48"/>
    <mergeCell ref="A41:F41"/>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36" t="s">
        <v>1103</v>
      </c>
      <c r="B2" s="437"/>
      <c r="C2" s="437"/>
      <c r="D2" s="437"/>
      <c r="E2" s="437"/>
      <c r="F2" s="437"/>
      <c r="G2" s="437"/>
      <c r="H2" s="437"/>
      <c r="I2" s="438"/>
      <c r="J2" s="392" t="s">
        <v>1213</v>
      </c>
      <c r="Q2" s="70">
        <f>IF(OR(MIN(I8:I54)&lt;0,MAX(I8:I54)&gt;0),1,0)</f>
        <v>0</v>
      </c>
      <c r="R2" s="69" t="s">
        <v>1204</v>
      </c>
    </row>
    <row r="3" spans="1:18" s="2" customFormat="1" ht="19.5" customHeight="1" thickBot="1">
      <c r="A3" s="439" t="str">
        <f>"u razdoblju "&amp;IF(RefStr!C4&lt;&gt;"",TEXT(RefStr!C4,"DD.MM.YYYY."),"__.__.____.")&amp;" do "&amp;IF(RefStr!F4&lt;&gt;"",TEXT(RefStr!F4,"DD.MM.YYYY."),"__.__.____.")</f>
        <v>u razdoblju 01.01.2021. do 31.12.2021.</v>
      </c>
      <c r="B3" s="440"/>
      <c r="C3" s="440"/>
      <c r="D3" s="440"/>
      <c r="E3" s="440"/>
      <c r="F3" s="440"/>
      <c r="G3" s="440"/>
      <c r="H3" s="440"/>
      <c r="I3" s="441"/>
      <c r="J3" s="426"/>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400" t="str">
        <f>"Obveznik: "&amp;IF(RefStr!C27&lt;&gt;"",RefStr!C27,"________")&amp;"; "&amp;IF(RefStr!C29&lt;&gt;"",RefStr!C29,"________________________________________________________"&amp;"; "&amp;IF(RefStr!F31&lt;&gt;"",RefStr!F31,"_______________"))</f>
        <v>Obveznik: 34347571917; AQUAPARK ZELINA D.O.O.</v>
      </c>
      <c r="B5" s="401"/>
      <c r="C5" s="401"/>
      <c r="D5" s="401"/>
      <c r="E5" s="401"/>
      <c r="F5" s="401"/>
      <c r="G5" s="401"/>
      <c r="H5" s="401"/>
      <c r="I5" s="401"/>
      <c r="J5" s="402"/>
    </row>
    <row r="6" spans="1:10" s="2" customFormat="1" ht="24.75" customHeight="1" thickBot="1">
      <c r="A6" s="454" t="s">
        <v>955</v>
      </c>
      <c r="B6" s="455"/>
      <c r="C6" s="455"/>
      <c r="D6" s="455"/>
      <c r="E6" s="455"/>
      <c r="F6" s="455"/>
      <c r="G6" s="94" t="s">
        <v>633</v>
      </c>
      <c r="H6" s="98" t="s">
        <v>2275</v>
      </c>
      <c r="I6" s="94" t="s">
        <v>19</v>
      </c>
      <c r="J6" s="95" t="s">
        <v>20</v>
      </c>
    </row>
    <row r="7" spans="1:10" s="2" customFormat="1" ht="13.5" customHeight="1">
      <c r="A7" s="456">
        <v>1</v>
      </c>
      <c r="B7" s="457"/>
      <c r="C7" s="457"/>
      <c r="D7" s="457"/>
      <c r="E7" s="457"/>
      <c r="F7" s="457"/>
      <c r="G7" s="113">
        <v>2</v>
      </c>
      <c r="H7" s="114">
        <v>3</v>
      </c>
      <c r="I7" s="115">
        <v>4</v>
      </c>
      <c r="J7" s="116">
        <v>5</v>
      </c>
    </row>
    <row r="8" spans="1:10" s="2" customFormat="1" ht="15" customHeight="1">
      <c r="A8" s="442" t="s">
        <v>207</v>
      </c>
      <c r="B8" s="443"/>
      <c r="C8" s="443"/>
      <c r="D8" s="443"/>
      <c r="E8" s="443"/>
      <c r="F8" s="443"/>
      <c r="G8" s="443"/>
      <c r="H8" s="443"/>
      <c r="I8" s="443"/>
      <c r="J8" s="444"/>
    </row>
    <row r="9" spans="1:12" s="2" customFormat="1" ht="13.5" customHeight="1">
      <c r="A9" s="460" t="s">
        <v>1707</v>
      </c>
      <c r="B9" s="460"/>
      <c r="C9" s="460"/>
      <c r="D9" s="460"/>
      <c r="E9" s="460"/>
      <c r="F9" s="460"/>
      <c r="G9" s="88">
        <v>1</v>
      </c>
      <c r="H9" s="120"/>
      <c r="I9" s="90"/>
      <c r="J9" s="90"/>
      <c r="L9" s="2" t="s">
        <v>2525</v>
      </c>
    </row>
    <row r="10" spans="1:12" s="2" customFormat="1" ht="13.5" customHeight="1">
      <c r="A10" s="387" t="s">
        <v>1708</v>
      </c>
      <c r="B10" s="387"/>
      <c r="C10" s="387"/>
      <c r="D10" s="387"/>
      <c r="E10" s="387"/>
      <c r="F10" s="387"/>
      <c r="G10" s="15">
        <v>2</v>
      </c>
      <c r="H10" s="19"/>
      <c r="I10" s="73"/>
      <c r="J10" s="73"/>
      <c r="L10" s="2" t="s">
        <v>2525</v>
      </c>
    </row>
    <row r="11" spans="1:12" s="2" customFormat="1" ht="13.5" customHeight="1">
      <c r="A11" s="387" t="s">
        <v>1709</v>
      </c>
      <c r="B11" s="387"/>
      <c r="C11" s="387"/>
      <c r="D11" s="387"/>
      <c r="E11" s="387"/>
      <c r="F11" s="387"/>
      <c r="G11" s="15">
        <v>3</v>
      </c>
      <c r="H11" s="19"/>
      <c r="I11" s="73"/>
      <c r="J11" s="73"/>
      <c r="L11" s="2" t="s">
        <v>2525</v>
      </c>
    </row>
    <row r="12" spans="1:12" s="2" customFormat="1" ht="13.5" customHeight="1">
      <c r="A12" s="387" t="s">
        <v>1710</v>
      </c>
      <c r="B12" s="387"/>
      <c r="C12" s="387"/>
      <c r="D12" s="387"/>
      <c r="E12" s="387"/>
      <c r="F12" s="387"/>
      <c r="G12" s="15">
        <v>4</v>
      </c>
      <c r="H12" s="19"/>
      <c r="I12" s="73"/>
      <c r="J12" s="73"/>
      <c r="L12" s="2" t="s">
        <v>2525</v>
      </c>
    </row>
    <row r="13" spans="1:12" s="2" customFormat="1" ht="13.5" customHeight="1">
      <c r="A13" s="387" t="s">
        <v>1711</v>
      </c>
      <c r="B13" s="387"/>
      <c r="C13" s="387"/>
      <c r="D13" s="387"/>
      <c r="E13" s="387"/>
      <c r="F13" s="387"/>
      <c r="G13" s="15">
        <v>5</v>
      </c>
      <c r="H13" s="19"/>
      <c r="I13" s="73"/>
      <c r="J13" s="73"/>
      <c r="L13" s="2" t="s">
        <v>2525</v>
      </c>
    </row>
    <row r="14" spans="1:12" s="2" customFormat="1" ht="13.5" customHeight="1">
      <c r="A14" s="411" t="s">
        <v>1712</v>
      </c>
      <c r="B14" s="387"/>
      <c r="C14" s="387"/>
      <c r="D14" s="387"/>
      <c r="E14" s="387"/>
      <c r="F14" s="387"/>
      <c r="G14" s="15">
        <v>6</v>
      </c>
      <c r="H14" s="19"/>
      <c r="I14" s="82">
        <f>SUM(I9:I13)</f>
        <v>0</v>
      </c>
      <c r="J14" s="82">
        <f>SUM(J9:J13)</f>
        <v>0</v>
      </c>
      <c r="L14" s="2" t="s">
        <v>2525</v>
      </c>
    </row>
    <row r="15" spans="1:12" s="2" customFormat="1" ht="13.5" customHeight="1">
      <c r="A15" s="387" t="s">
        <v>1713</v>
      </c>
      <c r="B15" s="387"/>
      <c r="C15" s="387"/>
      <c r="D15" s="387"/>
      <c r="E15" s="387"/>
      <c r="F15" s="387"/>
      <c r="G15" s="15">
        <v>7</v>
      </c>
      <c r="H15" s="19"/>
      <c r="I15" s="73"/>
      <c r="J15" s="73"/>
      <c r="L15" s="2" t="s">
        <v>1209</v>
      </c>
    </row>
    <row r="16" spans="1:12" s="2" customFormat="1" ht="13.5" customHeight="1">
      <c r="A16" s="387" t="s">
        <v>1714</v>
      </c>
      <c r="B16" s="387"/>
      <c r="C16" s="387"/>
      <c r="D16" s="387"/>
      <c r="E16" s="387"/>
      <c r="F16" s="387"/>
      <c r="G16" s="15">
        <v>8</v>
      </c>
      <c r="H16" s="19"/>
      <c r="I16" s="73"/>
      <c r="J16" s="73"/>
      <c r="L16" s="2" t="s">
        <v>1209</v>
      </c>
    </row>
    <row r="17" spans="1:12" s="2" customFormat="1" ht="13.5" customHeight="1">
      <c r="A17" s="387" t="s">
        <v>1715</v>
      </c>
      <c r="B17" s="387"/>
      <c r="C17" s="387"/>
      <c r="D17" s="387"/>
      <c r="E17" s="387"/>
      <c r="F17" s="387"/>
      <c r="G17" s="15">
        <v>9</v>
      </c>
      <c r="H17" s="19"/>
      <c r="I17" s="73"/>
      <c r="J17" s="73"/>
      <c r="L17" s="2" t="s">
        <v>1209</v>
      </c>
    </row>
    <row r="18" spans="1:12" s="2" customFormat="1" ht="13.5" customHeight="1">
      <c r="A18" s="387" t="s">
        <v>1716</v>
      </c>
      <c r="B18" s="387"/>
      <c r="C18" s="387"/>
      <c r="D18" s="387"/>
      <c r="E18" s="387"/>
      <c r="F18" s="387"/>
      <c r="G18" s="15">
        <v>10</v>
      </c>
      <c r="H18" s="19"/>
      <c r="I18" s="73"/>
      <c r="J18" s="73"/>
      <c r="L18" s="2" t="s">
        <v>1209</v>
      </c>
    </row>
    <row r="19" spans="1:12" s="2" customFormat="1" ht="13.5" customHeight="1">
      <c r="A19" s="387" t="s">
        <v>1717</v>
      </c>
      <c r="B19" s="387"/>
      <c r="C19" s="387"/>
      <c r="D19" s="387"/>
      <c r="E19" s="387"/>
      <c r="F19" s="387"/>
      <c r="G19" s="15">
        <v>11</v>
      </c>
      <c r="H19" s="19"/>
      <c r="I19" s="73"/>
      <c r="J19" s="73"/>
      <c r="L19" s="2" t="s">
        <v>1209</v>
      </c>
    </row>
    <row r="20" spans="1:12" s="2" customFormat="1" ht="13.5" customHeight="1">
      <c r="A20" s="387" t="s">
        <v>1706</v>
      </c>
      <c r="B20" s="387"/>
      <c r="C20" s="387"/>
      <c r="D20" s="387"/>
      <c r="E20" s="387"/>
      <c r="F20" s="387"/>
      <c r="G20" s="15">
        <v>12</v>
      </c>
      <c r="H20" s="19"/>
      <c r="I20" s="73"/>
      <c r="J20" s="73"/>
      <c r="L20" s="2" t="s">
        <v>1209</v>
      </c>
    </row>
    <row r="21" spans="1:12" s="2" customFormat="1" ht="13.5" customHeight="1">
      <c r="A21" s="411" t="s">
        <v>1718</v>
      </c>
      <c r="B21" s="411"/>
      <c r="C21" s="411"/>
      <c r="D21" s="411"/>
      <c r="E21" s="411"/>
      <c r="F21" s="411"/>
      <c r="G21" s="15">
        <v>13</v>
      </c>
      <c r="H21" s="19"/>
      <c r="I21" s="82">
        <f>SUM(I15:I20)</f>
        <v>0</v>
      </c>
      <c r="J21" s="82">
        <f>SUM(J15:J20)</f>
        <v>0</v>
      </c>
      <c r="L21" s="2" t="s">
        <v>1209</v>
      </c>
    </row>
    <row r="22" spans="1:10" s="2" customFormat="1" ht="15" customHeight="1">
      <c r="A22" s="453" t="s">
        <v>920</v>
      </c>
      <c r="B22" s="453"/>
      <c r="C22" s="453"/>
      <c r="D22" s="453"/>
      <c r="E22" s="453"/>
      <c r="F22" s="453"/>
      <c r="G22" s="17">
        <v>14</v>
      </c>
      <c r="H22" s="20"/>
      <c r="I22" s="83">
        <f>I14+I21</f>
        <v>0</v>
      </c>
      <c r="J22" s="83">
        <f>J14+J21</f>
        <v>0</v>
      </c>
    </row>
    <row r="23" spans="1:10" s="2" customFormat="1" ht="13.5" customHeight="1">
      <c r="A23" s="442" t="s">
        <v>2357</v>
      </c>
      <c r="B23" s="443"/>
      <c r="C23" s="443"/>
      <c r="D23" s="443"/>
      <c r="E23" s="443"/>
      <c r="F23" s="443"/>
      <c r="G23" s="443"/>
      <c r="H23" s="443"/>
      <c r="I23" s="443"/>
      <c r="J23" s="444"/>
    </row>
    <row r="24" spans="1:12" s="2" customFormat="1" ht="15" customHeight="1">
      <c r="A24" s="445" t="s">
        <v>899</v>
      </c>
      <c r="B24" s="445"/>
      <c r="C24" s="445"/>
      <c r="D24" s="445"/>
      <c r="E24" s="445"/>
      <c r="F24" s="445"/>
      <c r="G24" s="88">
        <v>15</v>
      </c>
      <c r="H24" s="120"/>
      <c r="I24" s="90"/>
      <c r="J24" s="90"/>
      <c r="L24" s="2" t="s">
        <v>2525</v>
      </c>
    </row>
    <row r="25" spans="1:12" s="2" customFormat="1" ht="13.5" customHeight="1">
      <c r="A25" s="408" t="s">
        <v>900</v>
      </c>
      <c r="B25" s="408"/>
      <c r="C25" s="408"/>
      <c r="D25" s="408"/>
      <c r="E25" s="408"/>
      <c r="F25" s="408"/>
      <c r="G25" s="15">
        <v>16</v>
      </c>
      <c r="H25" s="19"/>
      <c r="I25" s="73"/>
      <c r="J25" s="73"/>
      <c r="L25" s="2" t="s">
        <v>2525</v>
      </c>
    </row>
    <row r="26" spans="1:12" s="2" customFormat="1" ht="13.5" customHeight="1">
      <c r="A26" s="408" t="s">
        <v>901</v>
      </c>
      <c r="B26" s="408"/>
      <c r="C26" s="408"/>
      <c r="D26" s="408"/>
      <c r="E26" s="408"/>
      <c r="F26" s="408"/>
      <c r="G26" s="15">
        <v>17</v>
      </c>
      <c r="H26" s="19"/>
      <c r="I26" s="73"/>
      <c r="J26" s="73"/>
      <c r="L26" s="2" t="s">
        <v>2525</v>
      </c>
    </row>
    <row r="27" spans="1:12" s="2" customFormat="1" ht="13.5" customHeight="1">
      <c r="A27" s="408" t="s">
        <v>1786</v>
      </c>
      <c r="B27" s="408"/>
      <c r="C27" s="408"/>
      <c r="D27" s="408"/>
      <c r="E27" s="408"/>
      <c r="F27" s="408"/>
      <c r="G27" s="15">
        <v>18</v>
      </c>
      <c r="H27" s="19"/>
      <c r="I27" s="73"/>
      <c r="J27" s="73"/>
      <c r="L27" s="2" t="s">
        <v>2525</v>
      </c>
    </row>
    <row r="28" spans="1:12" s="2" customFormat="1" ht="13.5" customHeight="1">
      <c r="A28" s="408" t="s">
        <v>2087</v>
      </c>
      <c r="B28" s="408"/>
      <c r="C28" s="408"/>
      <c r="D28" s="408"/>
      <c r="E28" s="408"/>
      <c r="F28" s="408"/>
      <c r="G28" s="15">
        <v>19</v>
      </c>
      <c r="H28" s="19"/>
      <c r="I28" s="73"/>
      <c r="J28" s="73"/>
      <c r="L28" s="2" t="s">
        <v>2525</v>
      </c>
    </row>
    <row r="29" spans="1:12" s="2" customFormat="1" ht="13.5" customHeight="1">
      <c r="A29" s="408" t="s">
        <v>1785</v>
      </c>
      <c r="B29" s="408"/>
      <c r="C29" s="408"/>
      <c r="D29" s="408"/>
      <c r="E29" s="408"/>
      <c r="F29" s="408"/>
      <c r="G29" s="15">
        <v>20</v>
      </c>
      <c r="H29" s="19"/>
      <c r="I29" s="73"/>
      <c r="J29" s="73"/>
      <c r="L29" s="2" t="s">
        <v>2525</v>
      </c>
    </row>
    <row r="30" spans="1:12" s="2" customFormat="1" ht="15" customHeight="1">
      <c r="A30" s="411" t="s">
        <v>1719</v>
      </c>
      <c r="B30" s="411"/>
      <c r="C30" s="411"/>
      <c r="D30" s="411"/>
      <c r="E30" s="411"/>
      <c r="F30" s="411"/>
      <c r="G30" s="15">
        <v>21</v>
      </c>
      <c r="H30" s="19"/>
      <c r="I30" s="82">
        <f>SUM(I24:I29)</f>
        <v>0</v>
      </c>
      <c r="J30" s="82">
        <f>SUM(J24:J29)</f>
        <v>0</v>
      </c>
      <c r="L30" s="2" t="s">
        <v>2525</v>
      </c>
    </row>
    <row r="31" spans="1:12" s="2" customFormat="1" ht="15" customHeight="1">
      <c r="A31" s="408" t="s">
        <v>2088</v>
      </c>
      <c r="B31" s="408"/>
      <c r="C31" s="408"/>
      <c r="D31" s="408"/>
      <c r="E31" s="408"/>
      <c r="F31" s="408"/>
      <c r="G31" s="15">
        <v>22</v>
      </c>
      <c r="H31" s="19"/>
      <c r="I31" s="73"/>
      <c r="J31" s="73"/>
      <c r="L31" s="2" t="s">
        <v>1209</v>
      </c>
    </row>
    <row r="32" spans="1:12" s="2" customFormat="1" ht="13.5" customHeight="1">
      <c r="A32" s="408" t="s">
        <v>2089</v>
      </c>
      <c r="B32" s="408"/>
      <c r="C32" s="408"/>
      <c r="D32" s="408"/>
      <c r="E32" s="408"/>
      <c r="F32" s="408"/>
      <c r="G32" s="15">
        <v>23</v>
      </c>
      <c r="H32" s="19"/>
      <c r="I32" s="73"/>
      <c r="J32" s="73"/>
      <c r="L32" s="2" t="s">
        <v>1209</v>
      </c>
    </row>
    <row r="33" spans="1:12" s="2" customFormat="1" ht="13.5" customHeight="1">
      <c r="A33" s="408" t="s">
        <v>2090</v>
      </c>
      <c r="B33" s="408"/>
      <c r="C33" s="408"/>
      <c r="D33" s="408"/>
      <c r="E33" s="408"/>
      <c r="F33" s="408"/>
      <c r="G33" s="15">
        <v>24</v>
      </c>
      <c r="H33" s="19"/>
      <c r="I33" s="73"/>
      <c r="J33" s="73"/>
      <c r="L33" s="2" t="s">
        <v>1209</v>
      </c>
    </row>
    <row r="34" spans="1:10" s="2" customFormat="1" ht="13.5" customHeight="1">
      <c r="A34" s="408" t="s">
        <v>2091</v>
      </c>
      <c r="B34" s="408"/>
      <c r="C34" s="408"/>
      <c r="D34" s="408"/>
      <c r="E34" s="408"/>
      <c r="F34" s="408"/>
      <c r="G34" s="15">
        <v>25</v>
      </c>
      <c r="H34" s="19"/>
      <c r="I34" s="73"/>
      <c r="J34" s="73"/>
    </row>
    <row r="35" spans="1:12" s="2" customFormat="1" ht="13.5" customHeight="1">
      <c r="A35" s="408" t="s">
        <v>2092</v>
      </c>
      <c r="B35" s="408"/>
      <c r="C35" s="408"/>
      <c r="D35" s="408"/>
      <c r="E35" s="408"/>
      <c r="F35" s="408"/>
      <c r="G35" s="15">
        <v>26</v>
      </c>
      <c r="H35" s="19"/>
      <c r="I35" s="73"/>
      <c r="J35" s="73"/>
      <c r="L35" s="2" t="s">
        <v>1209</v>
      </c>
    </row>
    <row r="36" spans="1:12" s="2" customFormat="1" ht="15" customHeight="1">
      <c r="A36" s="411" t="s">
        <v>1720</v>
      </c>
      <c r="B36" s="411"/>
      <c r="C36" s="411"/>
      <c r="D36" s="411"/>
      <c r="E36" s="411"/>
      <c r="F36" s="411"/>
      <c r="G36" s="15">
        <v>27</v>
      </c>
      <c r="H36" s="19"/>
      <c r="I36" s="82">
        <f>SUM(I31:I35)</f>
        <v>0</v>
      </c>
      <c r="J36" s="82">
        <f>SUM(J31:J35)</f>
        <v>0</v>
      </c>
      <c r="L36" s="2" t="s">
        <v>1209</v>
      </c>
    </row>
    <row r="37" spans="1:10" s="2" customFormat="1" ht="15" customHeight="1">
      <c r="A37" s="453" t="s">
        <v>1721</v>
      </c>
      <c r="B37" s="453"/>
      <c r="C37" s="453"/>
      <c r="D37" s="453"/>
      <c r="E37" s="453"/>
      <c r="F37" s="453"/>
      <c r="G37" s="17">
        <v>28</v>
      </c>
      <c r="H37" s="20"/>
      <c r="I37" s="83">
        <f>I30+I36</f>
        <v>0</v>
      </c>
      <c r="J37" s="83">
        <f>J30+J36</f>
        <v>0</v>
      </c>
    </row>
    <row r="38" spans="1:10" s="2" customFormat="1" ht="13.5" customHeight="1">
      <c r="A38" s="442" t="s">
        <v>2808</v>
      </c>
      <c r="B38" s="443"/>
      <c r="C38" s="443"/>
      <c r="D38" s="443"/>
      <c r="E38" s="443"/>
      <c r="F38" s="443"/>
      <c r="G38" s="443">
        <v>0</v>
      </c>
      <c r="H38" s="443"/>
      <c r="I38" s="443"/>
      <c r="J38" s="444"/>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7" t="s">
        <v>2532</v>
      </c>
      <c r="B40" s="387"/>
      <c r="C40" s="387"/>
      <c r="D40" s="387"/>
      <c r="E40" s="387"/>
      <c r="F40" s="387"/>
      <c r="G40" s="15">
        <v>30</v>
      </c>
      <c r="H40" s="19"/>
      <c r="I40" s="73"/>
      <c r="J40" s="73"/>
      <c r="L40" s="2" t="s">
        <v>2525</v>
      </c>
    </row>
    <row r="41" spans="1:12" s="2" customFormat="1" ht="13.5" customHeight="1">
      <c r="A41" s="387" t="s">
        <v>2533</v>
      </c>
      <c r="B41" s="387"/>
      <c r="C41" s="387"/>
      <c r="D41" s="387"/>
      <c r="E41" s="387"/>
      <c r="F41" s="387"/>
      <c r="G41" s="15">
        <v>31</v>
      </c>
      <c r="H41" s="19"/>
      <c r="I41" s="73"/>
      <c r="J41" s="73"/>
      <c r="L41" s="2" t="s">
        <v>2525</v>
      </c>
    </row>
    <row r="42" spans="1:12" s="2" customFormat="1" ht="13.5" customHeight="1">
      <c r="A42" s="387" t="s">
        <v>2534</v>
      </c>
      <c r="B42" s="387"/>
      <c r="C42" s="387"/>
      <c r="D42" s="387"/>
      <c r="E42" s="387"/>
      <c r="F42" s="387"/>
      <c r="G42" s="15">
        <v>32</v>
      </c>
      <c r="H42" s="19"/>
      <c r="I42" s="73"/>
      <c r="J42" s="73"/>
      <c r="L42" s="2" t="s">
        <v>2525</v>
      </c>
    </row>
    <row r="43" spans="1:12" s="2" customFormat="1" ht="15" customHeight="1">
      <c r="A43" s="411" t="s">
        <v>1722</v>
      </c>
      <c r="B43" s="411"/>
      <c r="C43" s="411"/>
      <c r="D43" s="411"/>
      <c r="E43" s="411"/>
      <c r="F43" s="411"/>
      <c r="G43" s="15">
        <v>33</v>
      </c>
      <c r="H43" s="19"/>
      <c r="I43" s="82">
        <f>SUM(I39:I42)</f>
        <v>0</v>
      </c>
      <c r="J43" s="82">
        <f>SUM(J39:J42)</f>
        <v>0</v>
      </c>
      <c r="L43" s="2" t="s">
        <v>2525</v>
      </c>
    </row>
    <row r="44" spans="1:12" s="2" customFormat="1" ht="25.5" customHeight="1">
      <c r="A44" s="387" t="s">
        <v>2535</v>
      </c>
      <c r="B44" s="387"/>
      <c r="C44" s="387"/>
      <c r="D44" s="387"/>
      <c r="E44" s="387"/>
      <c r="F44" s="387"/>
      <c r="G44" s="15">
        <v>34</v>
      </c>
      <c r="H44" s="19"/>
      <c r="I44" s="73"/>
      <c r="J44" s="73"/>
      <c r="L44" s="2" t="s">
        <v>1209</v>
      </c>
    </row>
    <row r="45" spans="1:12" s="2" customFormat="1" ht="13.5" customHeight="1">
      <c r="A45" s="387" t="s">
        <v>2536</v>
      </c>
      <c r="B45" s="387"/>
      <c r="C45" s="387"/>
      <c r="D45" s="387"/>
      <c r="E45" s="387"/>
      <c r="F45" s="387"/>
      <c r="G45" s="15">
        <v>35</v>
      </c>
      <c r="H45" s="19"/>
      <c r="I45" s="73"/>
      <c r="J45" s="73"/>
      <c r="L45" s="2" t="s">
        <v>1209</v>
      </c>
    </row>
    <row r="46" spans="1:12" s="2" customFormat="1" ht="13.5" customHeight="1">
      <c r="A46" s="387" t="s">
        <v>2537</v>
      </c>
      <c r="B46" s="387"/>
      <c r="C46" s="387"/>
      <c r="D46" s="387"/>
      <c r="E46" s="387"/>
      <c r="F46" s="387"/>
      <c r="G46" s="15">
        <v>36</v>
      </c>
      <c r="H46" s="19"/>
      <c r="I46" s="73"/>
      <c r="J46" s="73"/>
      <c r="L46" s="2" t="s">
        <v>1209</v>
      </c>
    </row>
    <row r="47" spans="1:12" s="2" customFormat="1" ht="25.5" customHeight="1">
      <c r="A47" s="387" t="s">
        <v>1995</v>
      </c>
      <c r="B47" s="387"/>
      <c r="C47" s="387"/>
      <c r="D47" s="387"/>
      <c r="E47" s="387"/>
      <c r="F47" s="387"/>
      <c r="G47" s="15">
        <v>37</v>
      </c>
      <c r="H47" s="19"/>
      <c r="I47" s="73"/>
      <c r="J47" s="73"/>
      <c r="L47" s="2" t="s">
        <v>1209</v>
      </c>
    </row>
    <row r="48" spans="1:12" s="2" customFormat="1" ht="13.5" customHeight="1">
      <c r="A48" s="387" t="s">
        <v>15</v>
      </c>
      <c r="B48" s="387"/>
      <c r="C48" s="387"/>
      <c r="D48" s="387"/>
      <c r="E48" s="387"/>
      <c r="F48" s="387"/>
      <c r="G48" s="15">
        <v>38</v>
      </c>
      <c r="H48" s="19"/>
      <c r="I48" s="73"/>
      <c r="J48" s="73"/>
      <c r="L48" s="2" t="s">
        <v>1209</v>
      </c>
    </row>
    <row r="49" spans="1:12" s="2" customFormat="1" ht="15" customHeight="1">
      <c r="A49" s="411" t="s">
        <v>1723</v>
      </c>
      <c r="B49" s="411"/>
      <c r="C49" s="411"/>
      <c r="D49" s="411"/>
      <c r="E49" s="411"/>
      <c r="F49" s="411"/>
      <c r="G49" s="15">
        <v>39</v>
      </c>
      <c r="H49" s="19"/>
      <c r="I49" s="82">
        <f>SUM(I44:I48)</f>
        <v>0</v>
      </c>
      <c r="J49" s="82">
        <f>SUM(J44:J48)</f>
        <v>0</v>
      </c>
      <c r="L49" s="2" t="s">
        <v>1209</v>
      </c>
    </row>
    <row r="50" spans="1:10" s="2" customFormat="1" ht="15" customHeight="1">
      <c r="A50" s="409" t="s">
        <v>1724</v>
      </c>
      <c r="B50" s="409"/>
      <c r="C50" s="409"/>
      <c r="D50" s="409"/>
      <c r="E50" s="409"/>
      <c r="F50" s="409"/>
      <c r="G50" s="15">
        <v>40</v>
      </c>
      <c r="H50" s="19"/>
      <c r="I50" s="82">
        <f>I43+I49</f>
        <v>0</v>
      </c>
      <c r="J50" s="82">
        <f>J43+J49</f>
        <v>0</v>
      </c>
    </row>
    <row r="51" spans="1:10" s="2" customFormat="1" ht="13.5" customHeight="1">
      <c r="A51" s="408" t="s">
        <v>902</v>
      </c>
      <c r="B51" s="408"/>
      <c r="C51" s="408"/>
      <c r="D51" s="408"/>
      <c r="E51" s="408"/>
      <c r="F51" s="408"/>
      <c r="G51" s="15">
        <v>41</v>
      </c>
      <c r="H51" s="19"/>
      <c r="I51" s="73"/>
      <c r="J51" s="73"/>
    </row>
    <row r="52" spans="1:10" s="2" customFormat="1" ht="25.5" customHeight="1">
      <c r="A52" s="409" t="s">
        <v>1725</v>
      </c>
      <c r="B52" s="409"/>
      <c r="C52" s="409"/>
      <c r="D52" s="409"/>
      <c r="E52" s="409"/>
      <c r="F52" s="409"/>
      <c r="G52" s="15">
        <v>42</v>
      </c>
      <c r="H52" s="19"/>
      <c r="I52" s="82">
        <f>I22+I37+I50+I51</f>
        <v>0</v>
      </c>
      <c r="J52" s="82">
        <f>J22+J37+J50+J51</f>
        <v>0</v>
      </c>
    </row>
    <row r="53" spans="1:12" s="2" customFormat="1" ht="13.5" customHeight="1">
      <c r="A53" s="409" t="s">
        <v>2810</v>
      </c>
      <c r="B53" s="409"/>
      <c r="C53" s="409"/>
      <c r="D53" s="409"/>
      <c r="E53" s="409"/>
      <c r="F53" s="409"/>
      <c r="G53" s="15">
        <v>43</v>
      </c>
      <c r="H53" s="19"/>
      <c r="I53" s="73"/>
      <c r="J53" s="73"/>
      <c r="L53" s="2" t="s">
        <v>2525</v>
      </c>
    </row>
    <row r="54" spans="1:12" s="2" customFormat="1" ht="13.5" customHeight="1">
      <c r="A54" s="453" t="s">
        <v>1726</v>
      </c>
      <c r="B54" s="453"/>
      <c r="C54" s="453"/>
      <c r="D54" s="453"/>
      <c r="E54" s="453"/>
      <c r="F54" s="453"/>
      <c r="G54" s="17">
        <v>44</v>
      </c>
      <c r="H54" s="20"/>
      <c r="I54" s="83">
        <f>I52+I53</f>
        <v>0</v>
      </c>
      <c r="J54" s="83">
        <f>J52+J53</f>
        <v>0</v>
      </c>
      <c r="L54" s="2" t="s">
        <v>2525</v>
      </c>
    </row>
    <row r="55" ht="4.5" customHeight="1"/>
  </sheetData>
  <sheetProtection password="C79A" sheet="1" objects="1" scenarios="1"/>
  <mergeCells count="53">
    <mergeCell ref="A40:F40"/>
    <mergeCell ref="A46:F46"/>
    <mergeCell ref="A44:F44"/>
    <mergeCell ref="A34:F34"/>
    <mergeCell ref="A54:F54"/>
    <mergeCell ref="A53:F53"/>
    <mergeCell ref="A50:F50"/>
    <mergeCell ref="A48:F48"/>
    <mergeCell ref="A51:F51"/>
    <mergeCell ref="A33:F33"/>
    <mergeCell ref="A41:F41"/>
    <mergeCell ref="A42:F42"/>
    <mergeCell ref="A36:F36"/>
    <mergeCell ref="A49:F49"/>
    <mergeCell ref="A37:F37"/>
    <mergeCell ref="A39:F39"/>
    <mergeCell ref="A38:J38"/>
    <mergeCell ref="A52:F52"/>
    <mergeCell ref="A21:F21"/>
    <mergeCell ref="A45:F45"/>
    <mergeCell ref="A43:F43"/>
    <mergeCell ref="A32:F32"/>
    <mergeCell ref="A35:F35"/>
    <mergeCell ref="A47:F47"/>
    <mergeCell ref="A19:F19"/>
    <mergeCell ref="A30:F30"/>
    <mergeCell ref="A31:F31"/>
    <mergeCell ref="A28:F28"/>
    <mergeCell ref="A29:F29"/>
    <mergeCell ref="A20:F20"/>
    <mergeCell ref="A24:F24"/>
    <mergeCell ref="A8:J8"/>
    <mergeCell ref="A9:F9"/>
    <mergeCell ref="A18:F18"/>
    <mergeCell ref="A16:F16"/>
    <mergeCell ref="A17:F17"/>
    <mergeCell ref="A27:F27"/>
    <mergeCell ref="A25:F25"/>
    <mergeCell ref="A26:F26"/>
    <mergeCell ref="A22:F22"/>
    <mergeCell ref="A23:J23"/>
    <mergeCell ref="A2:I2"/>
    <mergeCell ref="J2:J3"/>
    <mergeCell ref="A3:I3"/>
    <mergeCell ref="A5:J5"/>
    <mergeCell ref="A6:F6"/>
    <mergeCell ref="A7:F7"/>
    <mergeCell ref="A10:F10"/>
    <mergeCell ref="A11:F11"/>
    <mergeCell ref="A12:F12"/>
    <mergeCell ref="A13:F13"/>
    <mergeCell ref="A14:F14"/>
    <mergeCell ref="A15:F15"/>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0</v>
      </c>
      <c r="AD1" s="130" t="s">
        <v>792</v>
      </c>
    </row>
    <row r="2" spans="1:30" s="3" customFormat="1" ht="19.5" customHeight="1">
      <c r="A2" s="487" t="s">
        <v>158</v>
      </c>
      <c r="B2" s="487"/>
      <c r="C2" s="487"/>
      <c r="D2" s="487"/>
      <c r="E2" s="487"/>
      <c r="F2" s="487"/>
      <c r="G2" s="488"/>
      <c r="H2" s="488"/>
      <c r="I2" s="131"/>
      <c r="J2" s="131"/>
      <c r="K2" s="131"/>
      <c r="L2" s="131"/>
      <c r="M2" s="131"/>
      <c r="N2" s="131"/>
      <c r="O2" s="132"/>
      <c r="P2" s="392" t="s">
        <v>1214</v>
      </c>
      <c r="Q2" s="477"/>
      <c r="R2" s="477"/>
      <c r="S2" s="477"/>
      <c r="T2" s="477"/>
      <c r="U2" s="477"/>
      <c r="V2" s="477"/>
      <c r="W2" s="477"/>
      <c r="X2" s="477"/>
      <c r="Y2" s="478"/>
      <c r="Z2" s="392" t="s">
        <v>1214</v>
      </c>
      <c r="AC2" s="3">
        <f>IF(OR(MAX(H10:Z33)&lt;&gt;0,MIN(H10:Z33)&lt;&gt;0),1,0)</f>
        <v>0</v>
      </c>
      <c r="AD2" s="3" t="s">
        <v>1216</v>
      </c>
    </row>
    <row r="3" spans="1:30" s="3" customFormat="1" ht="19.5" customHeight="1" thickBot="1">
      <c r="A3" s="469" t="str">
        <f>"za razdoblje od "&amp;IF(RefStr!C4&lt;&gt;"",TEXT(RefStr!C4,"DD.MM.YYYY."),"__.__.____.")&amp;" do "&amp;IF(RefStr!F4&lt;&gt;"",TEXT(RefStr!F4,"DD.MM.YYYY."),"__.__.____.")</f>
        <v>za razdoblje od 01.01.2021. do 31.12.2021.</v>
      </c>
      <c r="B3" s="469"/>
      <c r="C3" s="469"/>
      <c r="D3" s="469"/>
      <c r="E3" s="469"/>
      <c r="F3" s="469"/>
      <c r="G3" s="470"/>
      <c r="H3" s="470"/>
      <c r="I3" s="131"/>
      <c r="J3" s="131"/>
      <c r="K3" s="131"/>
      <c r="L3" s="131"/>
      <c r="M3" s="131"/>
      <c r="N3" s="131"/>
      <c r="O3" s="132"/>
      <c r="P3" s="426"/>
      <c r="Q3" s="477"/>
      <c r="R3" s="477"/>
      <c r="S3" s="477"/>
      <c r="T3" s="477"/>
      <c r="U3" s="477"/>
      <c r="V3" s="477"/>
      <c r="W3" s="477"/>
      <c r="X3" s="477"/>
      <c r="Y3" s="478"/>
      <c r="Z3" s="486"/>
      <c r="AC3" s="3">
        <f>IF(OR(MAX(H39:Z62)&lt;&gt;0,MIN(H39:Z62)&lt;&gt;0),1,0)</f>
        <v>0</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82" t="str">
        <f>"Obveznik: "&amp;IF(RefStr!C27&lt;&gt;"",RefStr!C27,"________")&amp;"; "&amp;IF(RefStr!C29&lt;&gt;"",RefStr!C29,"________________________________________________________"&amp;"; "&amp;IF(RefStr!F31&lt;&gt;"",RefStr!F31,"_______________"))</f>
        <v>Obveznik: 34347571917; AQUAPARK ZELINA D.O.O.</v>
      </c>
      <c r="B5" s="483"/>
      <c r="C5" s="483"/>
      <c r="D5" s="483"/>
      <c r="E5" s="483"/>
      <c r="F5" s="483"/>
      <c r="G5" s="483"/>
      <c r="H5" s="483"/>
      <c r="I5" s="483"/>
      <c r="J5" s="483"/>
      <c r="K5" s="483"/>
      <c r="L5" s="483"/>
      <c r="M5" s="483"/>
      <c r="N5" s="483"/>
      <c r="O5" s="484"/>
      <c r="P5" s="484"/>
      <c r="Q5" s="484"/>
      <c r="R5" s="484"/>
      <c r="S5" s="484"/>
      <c r="T5" s="484"/>
      <c r="U5" s="484"/>
      <c r="V5" s="484"/>
      <c r="W5" s="484"/>
      <c r="X5" s="484"/>
      <c r="Y5" s="484"/>
      <c r="Z5" s="485"/>
      <c r="AC5" s="3">
        <f>IF(OR(MAX(Y10:Y33)&lt;&gt;0,MIN(Y10:Y33)&lt;&gt;0),1,0)</f>
        <v>0</v>
      </c>
      <c r="AD5" s="12" t="s">
        <v>2651</v>
      </c>
    </row>
    <row r="6" spans="1:30" s="3" customFormat="1" ht="15" customHeight="1" thickBot="1">
      <c r="A6" s="454" t="s">
        <v>617</v>
      </c>
      <c r="B6" s="474"/>
      <c r="C6" s="474"/>
      <c r="D6" s="474"/>
      <c r="E6" s="474"/>
      <c r="F6" s="474"/>
      <c r="G6" s="455" t="s">
        <v>633</v>
      </c>
      <c r="H6" s="404" t="s">
        <v>2275</v>
      </c>
      <c r="I6" s="455" t="s">
        <v>615</v>
      </c>
      <c r="J6" s="455"/>
      <c r="K6" s="455"/>
      <c r="L6" s="455"/>
      <c r="M6" s="455"/>
      <c r="N6" s="455"/>
      <c r="O6" s="455"/>
      <c r="P6" s="455"/>
      <c r="Q6" s="455"/>
      <c r="R6" s="455"/>
      <c r="S6" s="455"/>
      <c r="T6" s="455"/>
      <c r="U6" s="455"/>
      <c r="V6" s="455"/>
      <c r="W6" s="455"/>
      <c r="X6" s="455"/>
      <c r="Y6" s="455" t="s">
        <v>1217</v>
      </c>
      <c r="Z6" s="489" t="s">
        <v>616</v>
      </c>
      <c r="AC6" s="3">
        <f>IF(OR(MAX(Y39:Y62)&lt;&gt;0,MIN(Y39:Y62)&lt;&gt;0),1,0)</f>
        <v>0</v>
      </c>
      <c r="AD6" s="12" t="s">
        <v>710</v>
      </c>
    </row>
    <row r="7" spans="1:30" s="3" customFormat="1" ht="67.5" customHeight="1" thickBot="1">
      <c r="A7" s="475"/>
      <c r="B7" s="476"/>
      <c r="C7" s="476"/>
      <c r="D7" s="476"/>
      <c r="E7" s="476"/>
      <c r="F7" s="476"/>
      <c r="G7" s="473"/>
      <c r="H7" s="473"/>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3"/>
      <c r="Z7" s="490"/>
      <c r="AC7" s="3">
        <f>IF(RefStr!N19="MSFI",1,0)</f>
        <v>0</v>
      </c>
      <c r="AD7" s="12" t="s">
        <v>315</v>
      </c>
    </row>
    <row r="8" spans="1:26" s="3" customFormat="1" ht="23.25" customHeight="1">
      <c r="A8" s="471">
        <v>1</v>
      </c>
      <c r="B8" s="472"/>
      <c r="C8" s="472"/>
      <c r="D8" s="472"/>
      <c r="E8" s="472"/>
      <c r="F8" s="472"/>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79" t="s">
        <v>618</v>
      </c>
      <c r="B9" s="479"/>
      <c r="C9" s="479"/>
      <c r="D9" s="479"/>
      <c r="E9" s="479"/>
      <c r="F9" s="479"/>
      <c r="G9" s="479"/>
      <c r="H9" s="479"/>
      <c r="I9" s="479"/>
      <c r="J9" s="479"/>
      <c r="K9" s="479"/>
      <c r="L9" s="479"/>
      <c r="M9" s="479"/>
      <c r="N9" s="479"/>
      <c r="O9" s="480"/>
      <c r="P9" s="480"/>
      <c r="Q9" s="480"/>
      <c r="R9" s="480"/>
      <c r="S9" s="480"/>
      <c r="T9" s="480"/>
      <c r="U9" s="480"/>
      <c r="V9" s="480"/>
      <c r="W9" s="480"/>
      <c r="X9" s="480"/>
      <c r="Y9" s="480"/>
      <c r="Z9" s="481"/>
      <c r="AD9" s="134"/>
      <c r="AE9" s="135"/>
      <c r="AF9" s="134"/>
      <c r="AG9" s="135"/>
    </row>
    <row r="10" spans="1:33" s="3" customFormat="1" ht="13.5" customHeight="1">
      <c r="A10" s="467" t="s">
        <v>498</v>
      </c>
      <c r="B10" s="467"/>
      <c r="C10" s="467"/>
      <c r="D10" s="467"/>
      <c r="E10" s="467"/>
      <c r="F10" s="467"/>
      <c r="G10" s="199">
        <v>1</v>
      </c>
      <c r="H10" s="128"/>
      <c r="I10" s="21"/>
      <c r="J10" s="21"/>
      <c r="K10" s="21"/>
      <c r="L10" s="21"/>
      <c r="M10" s="21"/>
      <c r="N10" s="21"/>
      <c r="O10" s="21"/>
      <c r="P10" s="21"/>
      <c r="Q10" s="21"/>
      <c r="R10" s="21"/>
      <c r="S10" s="21"/>
      <c r="T10" s="21"/>
      <c r="U10" s="21"/>
      <c r="V10" s="21"/>
      <c r="W10" s="21"/>
      <c r="X10" s="202">
        <f>SUM(I10:L10)-M10+SUM(N10:W10)</f>
        <v>0</v>
      </c>
      <c r="Y10" s="21"/>
      <c r="Z10" s="202">
        <f>Y10+X10</f>
        <v>0</v>
      </c>
      <c r="AD10" s="135"/>
      <c r="AE10" s="135"/>
      <c r="AF10" s="135"/>
      <c r="AG10" s="135"/>
    </row>
    <row r="11" spans="1:33" s="3" customFormat="1" ht="13.5" customHeight="1">
      <c r="A11" s="461" t="s">
        <v>499</v>
      </c>
      <c r="B11" s="461"/>
      <c r="C11" s="461"/>
      <c r="D11" s="461"/>
      <c r="E11" s="461"/>
      <c r="F11" s="461"/>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61" t="s">
        <v>500</v>
      </c>
      <c r="B12" s="461"/>
      <c r="C12" s="461"/>
      <c r="D12" s="461"/>
      <c r="E12" s="461"/>
      <c r="F12" s="461"/>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67" t="s">
        <v>501</v>
      </c>
      <c r="B13" s="467"/>
      <c r="C13" s="467"/>
      <c r="D13" s="467"/>
      <c r="E13" s="467"/>
      <c r="F13" s="467"/>
      <c r="G13" s="199">
        <v>4</v>
      </c>
      <c r="H13" s="128"/>
      <c r="I13" s="202">
        <f>SUM(I10:I12)</f>
        <v>0</v>
      </c>
      <c r="J13" s="202">
        <f aca="true" t="shared" si="2" ref="J13:W13">SUM(J10:J12)</f>
        <v>0</v>
      </c>
      <c r="K13" s="202">
        <f t="shared" si="2"/>
        <v>0</v>
      </c>
      <c r="L13" s="202">
        <f t="shared" si="2"/>
        <v>0</v>
      </c>
      <c r="M13" s="202">
        <f t="shared" si="2"/>
        <v>0</v>
      </c>
      <c r="N13" s="202">
        <f t="shared" si="2"/>
        <v>0</v>
      </c>
      <c r="O13" s="202">
        <f t="shared" si="2"/>
        <v>0</v>
      </c>
      <c r="P13" s="202">
        <f t="shared" si="2"/>
        <v>0</v>
      </c>
      <c r="Q13" s="202">
        <f t="shared" si="2"/>
        <v>0</v>
      </c>
      <c r="R13" s="202">
        <f t="shared" si="2"/>
        <v>0</v>
      </c>
      <c r="S13" s="202">
        <f t="shared" si="2"/>
        <v>0</v>
      </c>
      <c r="T13" s="202">
        <f>SUM(T10:T12)</f>
        <v>0</v>
      </c>
      <c r="U13" s="202">
        <f>SUM(U10:U12)</f>
        <v>0</v>
      </c>
      <c r="V13" s="202">
        <f t="shared" si="2"/>
        <v>0</v>
      </c>
      <c r="W13" s="202">
        <f t="shared" si="2"/>
        <v>0</v>
      </c>
      <c r="X13" s="202">
        <f t="shared" si="0"/>
        <v>0</v>
      </c>
      <c r="Y13" s="202">
        <f>SUM(Y10:Y12)</f>
        <v>0</v>
      </c>
      <c r="Z13" s="202">
        <f t="shared" si="1"/>
        <v>0</v>
      </c>
      <c r="AD13" s="136"/>
      <c r="AE13" s="136"/>
      <c r="AF13" s="136"/>
      <c r="AG13" s="135"/>
    </row>
    <row r="14" spans="1:33" s="3" customFormat="1" ht="13.5" customHeight="1">
      <c r="A14" s="461" t="s">
        <v>502</v>
      </c>
      <c r="B14" s="461"/>
      <c r="C14" s="461"/>
      <c r="D14" s="461"/>
      <c r="E14" s="461"/>
      <c r="F14" s="461"/>
      <c r="G14" s="199">
        <v>5</v>
      </c>
      <c r="H14" s="128"/>
      <c r="I14" s="212"/>
      <c r="J14" s="212"/>
      <c r="K14" s="212"/>
      <c r="L14" s="212"/>
      <c r="M14" s="212"/>
      <c r="N14" s="212"/>
      <c r="O14" s="212"/>
      <c r="P14" s="212"/>
      <c r="Q14" s="212"/>
      <c r="R14" s="212"/>
      <c r="S14" s="212"/>
      <c r="T14" s="212"/>
      <c r="U14" s="212"/>
      <c r="V14" s="212"/>
      <c r="W14" s="21"/>
      <c r="X14" s="202">
        <f t="shared" si="0"/>
        <v>0</v>
      </c>
      <c r="Y14" s="21"/>
      <c r="Z14" s="202">
        <f t="shared" si="1"/>
        <v>0</v>
      </c>
      <c r="AD14" s="136"/>
      <c r="AE14" s="136"/>
      <c r="AF14" s="136"/>
      <c r="AG14" s="135"/>
    </row>
    <row r="15" spans="1:33" s="3" customFormat="1" ht="13.5" customHeight="1">
      <c r="A15" s="461" t="s">
        <v>503</v>
      </c>
      <c r="B15" s="461"/>
      <c r="C15" s="461"/>
      <c r="D15" s="461"/>
      <c r="E15" s="461"/>
      <c r="F15" s="461"/>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61" t="s">
        <v>2544</v>
      </c>
      <c r="B16" s="461"/>
      <c r="C16" s="461"/>
      <c r="D16" s="461"/>
      <c r="E16" s="461"/>
      <c r="F16" s="461"/>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61" t="s">
        <v>2545</v>
      </c>
      <c r="B17" s="461"/>
      <c r="C17" s="461"/>
      <c r="D17" s="461"/>
      <c r="E17" s="461"/>
      <c r="F17" s="461"/>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61" t="s">
        <v>2546</v>
      </c>
      <c r="B18" s="461"/>
      <c r="C18" s="461"/>
      <c r="D18" s="461"/>
      <c r="E18" s="461"/>
      <c r="F18" s="461"/>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61" t="s">
        <v>508</v>
      </c>
      <c r="B19" s="461"/>
      <c r="C19" s="461"/>
      <c r="D19" s="461"/>
      <c r="E19" s="461"/>
      <c r="F19" s="461"/>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61" t="s">
        <v>2547</v>
      </c>
      <c r="B20" s="461"/>
      <c r="C20" s="461"/>
      <c r="D20" s="461"/>
      <c r="E20" s="461"/>
      <c r="F20" s="461"/>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61" t="s">
        <v>1140</v>
      </c>
      <c r="B21" s="461"/>
      <c r="C21" s="461"/>
      <c r="D21" s="461"/>
      <c r="E21" s="461"/>
      <c r="F21" s="461"/>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61" t="s">
        <v>1141</v>
      </c>
      <c r="B22" s="461"/>
      <c r="C22" s="461"/>
      <c r="D22" s="461"/>
      <c r="E22" s="461"/>
      <c r="F22" s="461"/>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61" t="s">
        <v>1142</v>
      </c>
      <c r="B23" s="461"/>
      <c r="C23" s="461"/>
      <c r="D23" s="461"/>
      <c r="E23" s="461"/>
      <c r="F23" s="461"/>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61" t="s">
        <v>2548</v>
      </c>
      <c r="B24" s="461"/>
      <c r="C24" s="461"/>
      <c r="D24" s="461"/>
      <c r="E24" s="461"/>
      <c r="F24" s="461"/>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61" t="s">
        <v>2559</v>
      </c>
      <c r="B25" s="461"/>
      <c r="C25" s="461"/>
      <c r="D25" s="461"/>
      <c r="E25" s="461"/>
      <c r="F25" s="461"/>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61" t="s">
        <v>2549</v>
      </c>
      <c r="B26" s="461"/>
      <c r="C26" s="461"/>
      <c r="D26" s="461"/>
      <c r="E26" s="461"/>
      <c r="F26" s="461"/>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61" t="s">
        <v>1143</v>
      </c>
      <c r="B27" s="461"/>
      <c r="C27" s="461"/>
      <c r="D27" s="461"/>
      <c r="E27" s="461"/>
      <c r="F27" s="461"/>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61" t="s">
        <v>1731</v>
      </c>
      <c r="B28" s="461"/>
      <c r="C28" s="461"/>
      <c r="D28" s="461"/>
      <c r="E28" s="461"/>
      <c r="F28" s="461"/>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61" t="s">
        <v>1732</v>
      </c>
      <c r="B29" s="461"/>
      <c r="C29" s="461"/>
      <c r="D29" s="461"/>
      <c r="E29" s="461"/>
      <c r="F29" s="461"/>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61" t="s">
        <v>486</v>
      </c>
      <c r="B30" s="461"/>
      <c r="C30" s="461"/>
      <c r="D30" s="461"/>
      <c r="E30" s="461"/>
      <c r="F30" s="461"/>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61" t="s">
        <v>487</v>
      </c>
      <c r="B31" s="461"/>
      <c r="C31" s="461"/>
      <c r="D31" s="461"/>
      <c r="E31" s="461"/>
      <c r="F31" s="461"/>
      <c r="G31" s="199">
        <v>22</v>
      </c>
      <c r="H31" s="128"/>
      <c r="I31" s="21"/>
      <c r="J31" s="21"/>
      <c r="K31" s="21"/>
      <c r="L31" s="21"/>
      <c r="M31" s="21"/>
      <c r="N31" s="21"/>
      <c r="O31" s="21"/>
      <c r="P31" s="21"/>
      <c r="Q31" s="21"/>
      <c r="R31" s="21"/>
      <c r="S31" s="21"/>
      <c r="T31" s="21"/>
      <c r="U31" s="21"/>
      <c r="V31" s="21"/>
      <c r="W31" s="21"/>
      <c r="X31" s="202">
        <f t="shared" si="0"/>
        <v>0</v>
      </c>
      <c r="Y31" s="21"/>
      <c r="Z31" s="202">
        <f t="shared" si="1"/>
        <v>0</v>
      </c>
      <c r="AD31" s="135"/>
    </row>
    <row r="32" spans="1:33" ht="13.5" customHeight="1">
      <c r="A32" s="461" t="s">
        <v>485</v>
      </c>
      <c r="B32" s="461"/>
      <c r="C32" s="461"/>
      <c r="D32" s="461"/>
      <c r="E32" s="461"/>
      <c r="F32" s="461"/>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63" t="s">
        <v>488</v>
      </c>
      <c r="B33" s="463"/>
      <c r="C33" s="463"/>
      <c r="D33" s="463"/>
      <c r="E33" s="463"/>
      <c r="F33" s="463"/>
      <c r="G33" s="200">
        <v>24</v>
      </c>
      <c r="H33" s="129"/>
      <c r="I33" s="201">
        <f>SUM(I13:I32)</f>
        <v>0</v>
      </c>
      <c r="J33" s="201">
        <f aca="true" t="shared" si="3" ref="J33:W33">SUM(J13:J32)</f>
        <v>0</v>
      </c>
      <c r="K33" s="201">
        <f t="shared" si="3"/>
        <v>0</v>
      </c>
      <c r="L33" s="201">
        <f t="shared" si="3"/>
        <v>0</v>
      </c>
      <c r="M33" s="201">
        <f t="shared" si="3"/>
        <v>0</v>
      </c>
      <c r="N33" s="201">
        <f t="shared" si="3"/>
        <v>0</v>
      </c>
      <c r="O33" s="201">
        <f t="shared" si="3"/>
        <v>0</v>
      </c>
      <c r="P33" s="201">
        <f t="shared" si="3"/>
        <v>0</v>
      </c>
      <c r="Q33" s="201">
        <f t="shared" si="3"/>
        <v>0</v>
      </c>
      <c r="R33" s="201">
        <f t="shared" si="3"/>
        <v>0</v>
      </c>
      <c r="S33" s="201">
        <f t="shared" si="3"/>
        <v>0</v>
      </c>
      <c r="T33" s="201">
        <f>SUM(T13:T32)</f>
        <v>0</v>
      </c>
      <c r="U33" s="201">
        <f>SUM(U13:U32)</f>
        <v>0</v>
      </c>
      <c r="V33" s="201">
        <f t="shared" si="3"/>
        <v>0</v>
      </c>
      <c r="W33" s="201">
        <f t="shared" si="3"/>
        <v>0</v>
      </c>
      <c r="X33" s="201">
        <f t="shared" si="0"/>
        <v>0</v>
      </c>
      <c r="Y33" s="201">
        <f>SUM(Y13:Y32)</f>
        <v>0</v>
      </c>
      <c r="Z33" s="201">
        <f t="shared" si="1"/>
        <v>0</v>
      </c>
      <c r="AG33" s="135"/>
    </row>
    <row r="34" spans="1:33" s="3" customFormat="1" ht="15.75" customHeight="1">
      <c r="A34" s="465" t="s">
        <v>143</v>
      </c>
      <c r="B34" s="466"/>
      <c r="C34" s="466"/>
      <c r="D34" s="466"/>
      <c r="E34" s="466"/>
      <c r="F34" s="466"/>
      <c r="G34" s="466"/>
      <c r="H34" s="466"/>
      <c r="I34" s="466"/>
      <c r="J34" s="466"/>
      <c r="K34" s="466"/>
      <c r="L34" s="466"/>
      <c r="M34" s="466"/>
      <c r="N34" s="466"/>
      <c r="O34" s="466"/>
      <c r="P34" s="466"/>
      <c r="Q34" s="466"/>
      <c r="R34" s="466"/>
      <c r="S34" s="466"/>
      <c r="T34" s="466"/>
      <c r="U34" s="466"/>
      <c r="V34" s="466"/>
      <c r="W34" s="466"/>
      <c r="X34" s="466"/>
      <c r="Y34" s="466"/>
      <c r="Z34" s="466"/>
      <c r="AD34" s="134"/>
      <c r="AE34" s="135"/>
      <c r="AF34" s="134"/>
      <c r="AG34" s="135"/>
    </row>
    <row r="35" spans="1:26" ht="24" customHeight="1">
      <c r="A35" s="464" t="s">
        <v>489</v>
      </c>
      <c r="B35" s="464"/>
      <c r="C35" s="464"/>
      <c r="D35" s="464"/>
      <c r="E35" s="464"/>
      <c r="F35" s="464"/>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64" t="s">
        <v>490</v>
      </c>
      <c r="B36" s="464"/>
      <c r="C36" s="464"/>
      <c r="D36" s="464"/>
      <c r="E36" s="464"/>
      <c r="F36" s="464"/>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62" t="s">
        <v>2550</v>
      </c>
      <c r="B37" s="462"/>
      <c r="C37" s="462"/>
      <c r="D37" s="462"/>
      <c r="E37" s="462"/>
      <c r="F37" s="462"/>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65" t="s">
        <v>632</v>
      </c>
      <c r="B38" s="468"/>
      <c r="C38" s="468"/>
      <c r="D38" s="468"/>
      <c r="E38" s="468"/>
      <c r="F38" s="468"/>
      <c r="G38" s="468"/>
      <c r="H38" s="468"/>
      <c r="I38" s="468"/>
      <c r="J38" s="468"/>
      <c r="K38" s="468"/>
      <c r="L38" s="468"/>
      <c r="M38" s="468"/>
      <c r="N38" s="468"/>
      <c r="O38" s="468"/>
      <c r="P38" s="468"/>
      <c r="Q38" s="468"/>
      <c r="R38" s="468"/>
      <c r="S38" s="468"/>
      <c r="T38" s="468"/>
      <c r="U38" s="468"/>
      <c r="V38" s="468"/>
      <c r="W38" s="468"/>
      <c r="X38" s="468"/>
      <c r="Y38" s="468"/>
      <c r="Z38" s="468"/>
      <c r="AD38" s="134"/>
      <c r="AE38" s="135"/>
      <c r="AF38" s="134"/>
      <c r="AG38" s="135"/>
    </row>
    <row r="39" spans="1:30" ht="13.5" customHeight="1">
      <c r="A39" s="467" t="s">
        <v>2551</v>
      </c>
      <c r="B39" s="467"/>
      <c r="C39" s="467"/>
      <c r="D39" s="467"/>
      <c r="E39" s="467"/>
      <c r="F39" s="467"/>
      <c r="G39" s="199">
        <v>28</v>
      </c>
      <c r="H39" s="128"/>
      <c r="I39" s="21"/>
      <c r="J39" s="21"/>
      <c r="K39" s="21"/>
      <c r="L39" s="21"/>
      <c r="M39" s="21"/>
      <c r="N39" s="21"/>
      <c r="O39" s="21"/>
      <c r="P39" s="21"/>
      <c r="Q39" s="21"/>
      <c r="R39" s="21"/>
      <c r="S39" s="21"/>
      <c r="T39" s="21"/>
      <c r="U39" s="21"/>
      <c r="V39" s="21"/>
      <c r="W39" s="21"/>
      <c r="X39" s="202">
        <f aca="true" t="shared" si="10" ref="X39:X62">SUM(I39:L39)-M39+SUM(N39:W39)</f>
        <v>0</v>
      </c>
      <c r="Y39" s="21"/>
      <c r="Z39" s="202">
        <f t="shared" si="1"/>
        <v>0</v>
      </c>
      <c r="AD39" s="135"/>
    </row>
    <row r="40" spans="1:30" ht="13.5" customHeight="1">
      <c r="A40" s="461" t="s">
        <v>499</v>
      </c>
      <c r="B40" s="461"/>
      <c r="C40" s="461"/>
      <c r="D40" s="461"/>
      <c r="E40" s="461"/>
      <c r="F40" s="461"/>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61" t="s">
        <v>500</v>
      </c>
      <c r="B41" s="461"/>
      <c r="C41" s="461"/>
      <c r="D41" s="461"/>
      <c r="E41" s="461"/>
      <c r="F41" s="461"/>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67" t="s">
        <v>2552</v>
      </c>
      <c r="B42" s="467"/>
      <c r="C42" s="467"/>
      <c r="D42" s="467"/>
      <c r="E42" s="467"/>
      <c r="F42" s="467"/>
      <c r="G42" s="199">
        <v>31</v>
      </c>
      <c r="H42" s="128"/>
      <c r="I42" s="202">
        <f aca="true" t="shared" si="11" ref="I42:W42">SUM(I39:I41)</f>
        <v>0</v>
      </c>
      <c r="J42" s="202">
        <f t="shared" si="11"/>
        <v>0</v>
      </c>
      <c r="K42" s="202">
        <f t="shared" si="11"/>
        <v>0</v>
      </c>
      <c r="L42" s="202">
        <f t="shared" si="11"/>
        <v>0</v>
      </c>
      <c r="M42" s="202">
        <f t="shared" si="11"/>
        <v>0</v>
      </c>
      <c r="N42" s="202">
        <f t="shared" si="11"/>
        <v>0</v>
      </c>
      <c r="O42" s="202">
        <f t="shared" si="11"/>
        <v>0</v>
      </c>
      <c r="P42" s="202">
        <f t="shared" si="11"/>
        <v>0</v>
      </c>
      <c r="Q42" s="202">
        <f t="shared" si="11"/>
        <v>0</v>
      </c>
      <c r="R42" s="202">
        <f t="shared" si="11"/>
        <v>0</v>
      </c>
      <c r="S42" s="202">
        <f t="shared" si="11"/>
        <v>0</v>
      </c>
      <c r="T42" s="202">
        <f>SUM(T39:T41)</f>
        <v>0</v>
      </c>
      <c r="U42" s="202">
        <f>SUM(U39:U41)</f>
        <v>0</v>
      </c>
      <c r="V42" s="202">
        <f t="shared" si="11"/>
        <v>0</v>
      </c>
      <c r="W42" s="202">
        <f t="shared" si="11"/>
        <v>0</v>
      </c>
      <c r="X42" s="202">
        <f t="shared" si="10"/>
        <v>0</v>
      </c>
      <c r="Y42" s="202">
        <f>SUM(Y39:Y41)</f>
        <v>0</v>
      </c>
      <c r="Z42" s="202">
        <f>Y42+X42</f>
        <v>0</v>
      </c>
      <c r="AG42" s="135"/>
    </row>
    <row r="43" spans="1:33" ht="13.5" customHeight="1">
      <c r="A43" s="461" t="s">
        <v>502</v>
      </c>
      <c r="B43" s="461"/>
      <c r="C43" s="461"/>
      <c r="D43" s="461"/>
      <c r="E43" s="461"/>
      <c r="F43" s="461"/>
      <c r="G43" s="199">
        <v>32</v>
      </c>
      <c r="H43" s="128"/>
      <c r="I43" s="212"/>
      <c r="J43" s="212"/>
      <c r="K43" s="212"/>
      <c r="L43" s="212"/>
      <c r="M43" s="212"/>
      <c r="N43" s="212"/>
      <c r="O43" s="212"/>
      <c r="P43" s="212"/>
      <c r="Q43" s="212"/>
      <c r="R43" s="212"/>
      <c r="S43" s="212"/>
      <c r="T43" s="212"/>
      <c r="U43" s="212"/>
      <c r="V43" s="212"/>
      <c r="W43" s="21"/>
      <c r="X43" s="202">
        <f t="shared" si="10"/>
        <v>0</v>
      </c>
      <c r="Y43" s="21"/>
      <c r="Z43" s="202">
        <f t="shared" si="1"/>
        <v>0</v>
      </c>
      <c r="AG43" s="135"/>
    </row>
    <row r="44" spans="1:26" ht="13.5" customHeight="1">
      <c r="A44" s="461" t="s">
        <v>503</v>
      </c>
      <c r="B44" s="461"/>
      <c r="C44" s="461"/>
      <c r="D44" s="461"/>
      <c r="E44" s="461"/>
      <c r="F44" s="461"/>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61" t="s">
        <v>2553</v>
      </c>
      <c r="B45" s="461"/>
      <c r="C45" s="461"/>
      <c r="D45" s="461"/>
      <c r="E45" s="461"/>
      <c r="F45" s="461"/>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61" t="s">
        <v>2545</v>
      </c>
      <c r="B46" s="461"/>
      <c r="C46" s="461"/>
      <c r="D46" s="461"/>
      <c r="E46" s="461"/>
      <c r="F46" s="461"/>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61" t="s">
        <v>2546</v>
      </c>
      <c r="B47" s="461"/>
      <c r="C47" s="461"/>
      <c r="D47" s="461"/>
      <c r="E47" s="461"/>
      <c r="F47" s="461"/>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61" t="s">
        <v>508</v>
      </c>
      <c r="B48" s="461"/>
      <c r="C48" s="461"/>
      <c r="D48" s="461"/>
      <c r="E48" s="461"/>
      <c r="F48" s="461"/>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61" t="s">
        <v>2554</v>
      </c>
      <c r="B49" s="461"/>
      <c r="C49" s="461"/>
      <c r="D49" s="461"/>
      <c r="E49" s="461"/>
      <c r="F49" s="461"/>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61" t="s">
        <v>1140</v>
      </c>
      <c r="B50" s="461"/>
      <c r="C50" s="461"/>
      <c r="D50" s="461"/>
      <c r="E50" s="461"/>
      <c r="F50" s="461"/>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61" t="s">
        <v>1141</v>
      </c>
      <c r="B51" s="461"/>
      <c r="C51" s="461"/>
      <c r="D51" s="461"/>
      <c r="E51" s="461"/>
      <c r="F51" s="461"/>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61" t="s">
        <v>1142</v>
      </c>
      <c r="B52" s="461"/>
      <c r="C52" s="461"/>
      <c r="D52" s="461"/>
      <c r="E52" s="461"/>
      <c r="F52" s="461"/>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61" t="s">
        <v>2548</v>
      </c>
      <c r="B53" s="461"/>
      <c r="C53" s="461"/>
      <c r="D53" s="461"/>
      <c r="E53" s="461"/>
      <c r="F53" s="461"/>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61" t="s">
        <v>2555</v>
      </c>
      <c r="B54" s="461"/>
      <c r="C54" s="461"/>
      <c r="D54" s="461"/>
      <c r="E54" s="461"/>
      <c r="F54" s="461"/>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61" t="s">
        <v>2556</v>
      </c>
      <c r="B55" s="461"/>
      <c r="C55" s="461"/>
      <c r="D55" s="461"/>
      <c r="E55" s="461"/>
      <c r="F55" s="461"/>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61" t="s">
        <v>1143</v>
      </c>
      <c r="B56" s="461"/>
      <c r="C56" s="461"/>
      <c r="D56" s="461"/>
      <c r="E56" s="461"/>
      <c r="F56" s="461"/>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61" t="s">
        <v>1731</v>
      </c>
      <c r="B57" s="461"/>
      <c r="C57" s="461"/>
      <c r="D57" s="461"/>
      <c r="E57" s="461"/>
      <c r="F57" s="461"/>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61" t="s">
        <v>491</v>
      </c>
      <c r="B58" s="461"/>
      <c r="C58" s="461"/>
      <c r="D58" s="461"/>
      <c r="E58" s="461"/>
      <c r="F58" s="461"/>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61" t="s">
        <v>492</v>
      </c>
      <c r="B59" s="461"/>
      <c r="C59" s="461"/>
      <c r="D59" s="461"/>
      <c r="E59" s="461"/>
      <c r="F59" s="461"/>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61" t="s">
        <v>493</v>
      </c>
      <c r="B60" s="461"/>
      <c r="C60" s="461"/>
      <c r="D60" s="461"/>
      <c r="E60" s="461"/>
      <c r="F60" s="461"/>
      <c r="G60" s="199">
        <v>49</v>
      </c>
      <c r="H60" s="128"/>
      <c r="I60" s="21"/>
      <c r="J60" s="21"/>
      <c r="K60" s="21"/>
      <c r="L60" s="21"/>
      <c r="M60" s="21"/>
      <c r="N60" s="21"/>
      <c r="O60" s="21"/>
      <c r="P60" s="21"/>
      <c r="Q60" s="21"/>
      <c r="R60" s="21"/>
      <c r="S60" s="21"/>
      <c r="T60" s="21"/>
      <c r="U60" s="21"/>
      <c r="V60" s="21"/>
      <c r="W60" s="21"/>
      <c r="X60" s="202">
        <f t="shared" si="10"/>
        <v>0</v>
      </c>
      <c r="Y60" s="21"/>
      <c r="Z60" s="202">
        <f t="shared" si="1"/>
        <v>0</v>
      </c>
      <c r="AD60" s="135"/>
      <c r="AE60" s="130"/>
    </row>
    <row r="61" spans="1:31" s="3" customFormat="1" ht="13.5" customHeight="1">
      <c r="A61" s="461" t="s">
        <v>485</v>
      </c>
      <c r="B61" s="461"/>
      <c r="C61" s="461"/>
      <c r="D61" s="461"/>
      <c r="E61" s="461"/>
      <c r="F61" s="461"/>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63" t="s">
        <v>494</v>
      </c>
      <c r="B62" s="463"/>
      <c r="C62" s="463"/>
      <c r="D62" s="463"/>
      <c r="E62" s="463"/>
      <c r="F62" s="463"/>
      <c r="G62" s="200">
        <v>51</v>
      </c>
      <c r="H62" s="129"/>
      <c r="I62" s="201">
        <f aca="true" t="shared" si="12" ref="I62:W62">SUM(I42:I61)</f>
        <v>0</v>
      </c>
      <c r="J62" s="201">
        <f t="shared" si="12"/>
        <v>0</v>
      </c>
      <c r="K62" s="201">
        <f t="shared" si="12"/>
        <v>0</v>
      </c>
      <c r="L62" s="201">
        <f t="shared" si="12"/>
        <v>0</v>
      </c>
      <c r="M62" s="201">
        <f t="shared" si="12"/>
        <v>0</v>
      </c>
      <c r="N62" s="201">
        <f t="shared" si="12"/>
        <v>0</v>
      </c>
      <c r="O62" s="201">
        <f t="shared" si="12"/>
        <v>0</v>
      </c>
      <c r="P62" s="201">
        <f t="shared" si="12"/>
        <v>0</v>
      </c>
      <c r="Q62" s="201">
        <f t="shared" si="12"/>
        <v>0</v>
      </c>
      <c r="R62" s="201">
        <f t="shared" si="12"/>
        <v>0</v>
      </c>
      <c r="S62" s="201">
        <f t="shared" si="12"/>
        <v>0</v>
      </c>
      <c r="T62" s="201">
        <f>SUM(T42:T61)</f>
        <v>0</v>
      </c>
      <c r="U62" s="201">
        <f>SUM(U42:U61)</f>
        <v>0</v>
      </c>
      <c r="V62" s="201">
        <f t="shared" si="12"/>
        <v>0</v>
      </c>
      <c r="W62" s="201">
        <f t="shared" si="12"/>
        <v>0</v>
      </c>
      <c r="X62" s="201">
        <f t="shared" si="10"/>
        <v>0</v>
      </c>
      <c r="Y62" s="201">
        <f>SUM(Y42:Y61)</f>
        <v>0</v>
      </c>
      <c r="Z62" s="201">
        <f t="shared" si="1"/>
        <v>0</v>
      </c>
      <c r="AD62" s="135"/>
      <c r="AE62" s="130"/>
    </row>
    <row r="63" spans="1:33" s="3" customFormat="1" ht="15.75" customHeight="1">
      <c r="A63" s="465" t="s">
        <v>143</v>
      </c>
      <c r="B63" s="466"/>
      <c r="C63" s="466"/>
      <c r="D63" s="466"/>
      <c r="E63" s="466"/>
      <c r="F63" s="466"/>
      <c r="G63" s="466"/>
      <c r="H63" s="466"/>
      <c r="I63" s="466"/>
      <c r="J63" s="466"/>
      <c r="K63" s="466"/>
      <c r="L63" s="466"/>
      <c r="M63" s="466"/>
      <c r="N63" s="466"/>
      <c r="O63" s="466"/>
      <c r="P63" s="466"/>
      <c r="Q63" s="466"/>
      <c r="R63" s="466"/>
      <c r="S63" s="466"/>
      <c r="T63" s="466"/>
      <c r="U63" s="466"/>
      <c r="V63" s="466"/>
      <c r="W63" s="466"/>
      <c r="X63" s="466"/>
      <c r="Y63" s="466"/>
      <c r="Z63" s="466"/>
      <c r="AD63" s="134"/>
      <c r="AE63" s="135"/>
      <c r="AF63" s="134"/>
      <c r="AG63" s="135"/>
    </row>
    <row r="64" spans="1:30" ht="24" customHeight="1">
      <c r="A64" s="464" t="s">
        <v>495</v>
      </c>
      <c r="B64" s="464"/>
      <c r="C64" s="464"/>
      <c r="D64" s="464"/>
      <c r="E64" s="464"/>
      <c r="F64" s="464"/>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64" t="s">
        <v>496</v>
      </c>
      <c r="B65" s="464"/>
      <c r="C65" s="464"/>
      <c r="D65" s="464"/>
      <c r="E65" s="464"/>
      <c r="F65" s="464"/>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62" t="s">
        <v>497</v>
      </c>
      <c r="B66" s="462"/>
      <c r="C66" s="462"/>
      <c r="D66" s="462"/>
      <c r="E66" s="462"/>
      <c r="F66" s="462"/>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Q2:Y2"/>
    <mergeCell ref="Q3:Y3"/>
    <mergeCell ref="A9:Z9"/>
    <mergeCell ref="A5:Z5"/>
    <mergeCell ref="G6:G7"/>
    <mergeCell ref="H6:H7"/>
    <mergeCell ref="Z2:Z3"/>
    <mergeCell ref="P2:P3"/>
    <mergeCell ref="A2:H2"/>
    <mergeCell ref="Z6:Z7"/>
    <mergeCell ref="A11:F11"/>
    <mergeCell ref="A12:F12"/>
    <mergeCell ref="I6:X6"/>
    <mergeCell ref="Y6:Y7"/>
    <mergeCell ref="A10:F10"/>
    <mergeCell ref="A6:F7"/>
    <mergeCell ref="A15:F15"/>
    <mergeCell ref="A13:F13"/>
    <mergeCell ref="A14:F14"/>
    <mergeCell ref="A23:F23"/>
    <mergeCell ref="A18:F18"/>
    <mergeCell ref="A19:F19"/>
    <mergeCell ref="A20:F20"/>
    <mergeCell ref="A21:F21"/>
    <mergeCell ref="A41:F41"/>
    <mergeCell ref="A42:F42"/>
    <mergeCell ref="A34:Z34"/>
    <mergeCell ref="A38:Z38"/>
    <mergeCell ref="A40:F40"/>
    <mergeCell ref="A3:H3"/>
    <mergeCell ref="A22:F22"/>
    <mergeCell ref="A16:F16"/>
    <mergeCell ref="A17:F17"/>
    <mergeCell ref="A8:F8"/>
    <mergeCell ref="A45:F45"/>
    <mergeCell ref="A26:F26"/>
    <mergeCell ref="A27:F27"/>
    <mergeCell ref="A24:F24"/>
    <mergeCell ref="A25:F25"/>
    <mergeCell ref="A28:F28"/>
    <mergeCell ref="A43:F43"/>
    <mergeCell ref="A31:F31"/>
    <mergeCell ref="A32:F32"/>
    <mergeCell ref="A33:F33"/>
    <mergeCell ref="A56:F56"/>
    <mergeCell ref="A46:F46"/>
    <mergeCell ref="A47:F47"/>
    <mergeCell ref="A29:F29"/>
    <mergeCell ref="A30:F30"/>
    <mergeCell ref="A35:F35"/>
    <mergeCell ref="A36:F36"/>
    <mergeCell ref="A37:F37"/>
    <mergeCell ref="A39:F39"/>
    <mergeCell ref="A44:F44"/>
    <mergeCell ref="A48:F48"/>
    <mergeCell ref="A49:F49"/>
    <mergeCell ref="A54:F54"/>
    <mergeCell ref="A55:F55"/>
    <mergeCell ref="A50:F50"/>
    <mergeCell ref="A51:F51"/>
    <mergeCell ref="A52:F52"/>
    <mergeCell ref="A53:F53"/>
    <mergeCell ref="A58:F58"/>
    <mergeCell ref="A57:F57"/>
    <mergeCell ref="A66:F66"/>
    <mergeCell ref="A61:F61"/>
    <mergeCell ref="A62:F62"/>
    <mergeCell ref="A64:F64"/>
    <mergeCell ref="A65:F65"/>
    <mergeCell ref="A63:Z63"/>
    <mergeCell ref="A59:F59"/>
    <mergeCell ref="A60:F60"/>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1200" verticalDpi="12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Zelkom_Dell_Gluhak</cp:lastModifiedBy>
  <cp:lastPrinted>2021-09-27T13:29:50Z</cp:lastPrinted>
  <dcterms:created xsi:type="dcterms:W3CDTF">2008-10-17T11:51:54Z</dcterms:created>
  <dcterms:modified xsi:type="dcterms:W3CDTF">2022-04-26T07:34:40Z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